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lilifeng.CLI-O\Documents\WeChat Files\wxid_nl115mtmqc0t21\FileStorage\File\2025-08\"/>
    </mc:Choice>
  </mc:AlternateContent>
  <bookViews>
    <workbookView xWindow="26070" yWindow="810" windowWidth="18480" windowHeight="20400" tabRatio="767" activeTab="2"/>
  </bookViews>
  <sheets>
    <sheet name="匯總" sheetId="1" r:id="rId1"/>
    <sheet name="A-開辦項目" sheetId="14" r:id="rId2"/>
    <sheet name="B-拆卸工程" sheetId="15" r:id="rId3"/>
    <sheet name="C-結構項目" sheetId="16" r:id="rId4"/>
    <sheet name="D-天花項目" sheetId="17" r:id="rId5"/>
    <sheet name="E-牆身及地面部分" sheetId="31" r:id="rId6"/>
    <sheet name="F-門及間斷部份" sheetId="26" r:id="rId7"/>
    <sheet name="G-傢具部份" sheetId="27" r:id="rId8"/>
    <sheet name="H-空調通風系統項目" sheetId="28" r:id="rId9"/>
    <sheet name="I-弱電系統項目" sheetId="25" r:id="rId10"/>
    <sheet name="J-強電系統項目" sheetId="30" r:id="rId11"/>
    <sheet name="K-供排水系統項目" sheetId="29" r:id="rId12"/>
    <sheet name="L-消防系統項目" sheetId="24" r:id="rId13"/>
  </sheets>
  <definedNames>
    <definedName name="_xlnm._FilterDatabase" localSheetId="9" hidden="1">'I-弱電系統項目'!$B$1:$B$195</definedName>
    <definedName name="_xlnm._FilterDatabase" localSheetId="10" hidden="1">'J-強電系統項目'!$B$1:$B$74</definedName>
    <definedName name="_xlnm.Print_Area" localSheetId="1">'A-開辦項目'!$A$1:$G$70</definedName>
    <definedName name="_xlnm.Print_Area" localSheetId="2">'B-拆卸工程'!$A$1:$G$34</definedName>
    <definedName name="_xlnm.Print_Area" localSheetId="5">'E-牆身及地面部分'!$A$1:$F$580</definedName>
    <definedName name="_xlnm.Print_Area" localSheetId="0">匯總!$A$1:$D$38</definedName>
    <definedName name="_xlnm.Print_Titles" localSheetId="1">'A-開辦項目'!$1:$7</definedName>
    <definedName name="_xlnm.Print_Titles" localSheetId="2">'B-拆卸工程'!$6:$6</definedName>
    <definedName name="_xlnm.Print_Titles" localSheetId="4">'D-天花項目'!$1:$7</definedName>
    <definedName name="_xlnm.Print_Titles" localSheetId="5">'E-牆身及地面部分'!$1:$7</definedName>
    <definedName name="_xlnm.Print_Titles" localSheetId="6">'F-門及間斷部份'!$1:$7</definedName>
    <definedName name="_xlnm.Print_Titles" localSheetId="7">'G-傢具部份'!$1:$7</definedName>
    <definedName name="_xlnm.Print_Titles" localSheetId="8">'H-空調通風系統項目'!$1:$7</definedName>
    <definedName name="_xlnm.Print_Titles" localSheetId="9">'I-弱電系統項目'!$1:$7</definedName>
    <definedName name="_xlnm.Print_Titles" localSheetId="10">'J-強電系統項目'!$1:$7</definedName>
    <definedName name="_xlnm.Print_Titles" localSheetId="11">'K-供排水系統項目'!$1:$7</definedName>
    <definedName name="_xlnm.Print_Titles" localSheetId="12">'L-消防系統項目'!$1:$7</definedName>
  </definedNames>
  <calcPr calcId="152511"/>
</workbook>
</file>

<file path=xl/calcChain.xml><?xml version="1.0" encoding="utf-8"?>
<calcChain xmlns="http://schemas.openxmlformats.org/spreadsheetml/2006/main">
  <c r="F194" i="25" l="1"/>
  <c r="C49" i="25"/>
  <c r="F264" i="27"/>
  <c r="F150" i="27"/>
  <c r="F111" i="27"/>
  <c r="F107" i="27"/>
  <c r="F97" i="27"/>
  <c r="F94" i="27"/>
  <c r="F93" i="27"/>
  <c r="F92" i="27"/>
  <c r="F91" i="27"/>
  <c r="F89" i="27"/>
  <c r="F88" i="27"/>
  <c r="F86" i="27"/>
  <c r="F80" i="27"/>
  <c r="F79" i="27"/>
  <c r="F78" i="27"/>
  <c r="F77" i="27"/>
  <c r="F76" i="27"/>
  <c r="F75" i="27"/>
  <c r="F74" i="27"/>
  <c r="F73" i="27"/>
  <c r="F72" i="27"/>
  <c r="F71" i="27"/>
  <c r="F70" i="27"/>
  <c r="F69" i="27"/>
  <c r="F68" i="27"/>
  <c r="F67" i="27"/>
  <c r="F66" i="27"/>
  <c r="F62" i="27"/>
  <c r="F61" i="27"/>
  <c r="F60" i="27"/>
  <c r="F59" i="27"/>
  <c r="F58" i="27"/>
  <c r="F49" i="27"/>
  <c r="F46" i="27"/>
  <c r="F45" i="27"/>
  <c r="F44" i="27"/>
  <c r="F43" i="27"/>
  <c r="F42" i="27"/>
  <c r="F41" i="27"/>
  <c r="F40" i="27"/>
  <c r="F39" i="27"/>
  <c r="F36" i="27"/>
  <c r="F35" i="27"/>
  <c r="F34" i="27"/>
  <c r="F32" i="27"/>
  <c r="F31" i="27"/>
  <c r="F27" i="27"/>
  <c r="F26" i="27"/>
  <c r="F25" i="27"/>
  <c r="F24" i="27"/>
  <c r="F23" i="27"/>
  <c r="F22" i="27"/>
  <c r="F18" i="27"/>
  <c r="F130" i="24" l="1"/>
  <c r="F113" i="24"/>
  <c r="F112" i="24"/>
  <c r="F111" i="24"/>
  <c r="F110" i="24"/>
  <c r="F107" i="24"/>
  <c r="F102" i="24"/>
  <c r="F99" i="24"/>
  <c r="F96" i="24"/>
  <c r="F91" i="24"/>
  <c r="F90" i="24"/>
  <c r="F89" i="24"/>
  <c r="F88" i="24"/>
  <c r="F87" i="24"/>
  <c r="F86" i="24"/>
  <c r="F85" i="24"/>
  <c r="F84" i="24"/>
  <c r="F81" i="24"/>
  <c r="F78" i="24"/>
  <c r="F75" i="24"/>
  <c r="F70" i="24"/>
  <c r="F69" i="24"/>
  <c r="F64" i="24"/>
  <c r="F62" i="24"/>
  <c r="F59" i="24"/>
  <c r="F58" i="24"/>
  <c r="F57" i="24"/>
  <c r="F56" i="24"/>
  <c r="F55" i="24"/>
  <c r="F54" i="24"/>
  <c r="F53" i="24"/>
  <c r="F52" i="24"/>
  <c r="F51" i="24"/>
  <c r="F50" i="24"/>
  <c r="F49" i="24"/>
  <c r="F48" i="24"/>
  <c r="F43" i="24"/>
  <c r="F40" i="24"/>
  <c r="F35" i="24"/>
  <c r="F32" i="24"/>
  <c r="F27" i="24"/>
  <c r="F24" i="24"/>
  <c r="F21" i="24"/>
  <c r="F18" i="24"/>
  <c r="F15" i="24"/>
  <c r="F89" i="29"/>
  <c r="F73" i="30"/>
  <c r="F82" i="28"/>
  <c r="F81" i="28"/>
  <c r="F80" i="28"/>
  <c r="F79" i="28"/>
  <c r="F78" i="28"/>
  <c r="F77" i="28"/>
  <c r="F76" i="28"/>
  <c r="F75" i="28"/>
  <c r="F74" i="28"/>
  <c r="F73" i="28"/>
  <c r="F72" i="28"/>
  <c r="F71" i="28"/>
  <c r="F70" i="28"/>
  <c r="F69" i="28"/>
  <c r="F68" i="28"/>
  <c r="F67" i="28"/>
  <c r="F66" i="28"/>
  <c r="F65" i="28"/>
  <c r="F64" i="28"/>
  <c r="F63" i="28"/>
  <c r="F62" i="28"/>
  <c r="F61" i="28"/>
  <c r="F60" i="28"/>
  <c r="F59" i="28"/>
  <c r="F58" i="28"/>
  <c r="F57" i="28"/>
  <c r="F56" i="28"/>
  <c r="F55" i="28"/>
  <c r="F54" i="28"/>
  <c r="F53" i="28"/>
  <c r="F52" i="28"/>
  <c r="F159" i="28" s="1"/>
  <c r="F100" i="26"/>
  <c r="F96" i="26"/>
  <c r="F95" i="26"/>
  <c r="F92" i="26"/>
  <c r="F89" i="26"/>
  <c r="C89" i="26"/>
  <c r="F86" i="26"/>
  <c r="C86" i="26"/>
  <c r="F82" i="26"/>
  <c r="C82" i="26"/>
  <c r="F79" i="26"/>
  <c r="C79" i="26"/>
  <c r="F78" i="26"/>
  <c r="C78" i="26"/>
  <c r="F75" i="26"/>
  <c r="F74" i="26"/>
  <c r="F73" i="26"/>
  <c r="F72" i="26"/>
  <c r="F71" i="26"/>
  <c r="F70" i="26"/>
  <c r="F69" i="26"/>
  <c r="F68" i="26"/>
  <c r="F67" i="26"/>
  <c r="F66" i="26"/>
  <c r="F65" i="26"/>
  <c r="F64" i="26"/>
  <c r="F63" i="26"/>
  <c r="F62" i="26"/>
  <c r="F61" i="26"/>
  <c r="F60" i="26"/>
  <c r="F59" i="26"/>
  <c r="F58" i="26"/>
  <c r="F57" i="26"/>
  <c r="F56" i="26"/>
  <c r="F55" i="26"/>
  <c r="F54" i="26"/>
  <c r="F53" i="26"/>
  <c r="F52" i="26"/>
  <c r="F49" i="26"/>
  <c r="F48" i="26"/>
  <c r="F47" i="26"/>
  <c r="F46" i="26"/>
  <c r="F45" i="26"/>
  <c r="F44" i="26"/>
  <c r="F43" i="26"/>
  <c r="F42" i="26"/>
  <c r="F41" i="26"/>
  <c r="F38" i="26"/>
  <c r="F35" i="26"/>
  <c r="F34" i="26"/>
  <c r="F33" i="26"/>
  <c r="F32" i="26"/>
  <c r="F31" i="26"/>
  <c r="F30" i="26"/>
  <c r="F29" i="26"/>
  <c r="F28" i="26"/>
  <c r="F25" i="26"/>
  <c r="F24" i="26"/>
  <c r="F23" i="26"/>
  <c r="F22" i="26"/>
  <c r="F21" i="26"/>
  <c r="F20" i="26"/>
  <c r="F19" i="26"/>
  <c r="F18" i="26"/>
  <c r="F17" i="26"/>
  <c r="F16" i="26"/>
  <c r="F15" i="26"/>
  <c r="F580" i="31"/>
  <c r="F559" i="31"/>
  <c r="F558" i="31"/>
  <c r="F552" i="31"/>
  <c r="F551" i="31"/>
  <c r="F550" i="31"/>
  <c r="F549" i="31"/>
  <c r="F548" i="31"/>
  <c r="F545" i="31"/>
  <c r="F544" i="31"/>
  <c r="F538" i="31"/>
  <c r="F534" i="31"/>
  <c r="F531" i="31"/>
  <c r="F526" i="31"/>
  <c r="F525" i="31"/>
  <c r="F522" i="31"/>
  <c r="F521" i="31"/>
  <c r="F520" i="31"/>
  <c r="F517" i="31"/>
  <c r="F514" i="31"/>
  <c r="F506" i="31"/>
  <c r="F497" i="31"/>
  <c r="F496" i="31"/>
  <c r="F493" i="31"/>
  <c r="C493" i="31"/>
  <c r="F492" i="31"/>
  <c r="C492" i="31"/>
  <c r="F486" i="31"/>
  <c r="F481" i="31"/>
  <c r="F478" i="31"/>
  <c r="F474" i="31"/>
  <c r="F473" i="31"/>
  <c r="F472" i="31"/>
  <c r="F471" i="31"/>
  <c r="F469" i="31"/>
  <c r="F468" i="31"/>
  <c r="F467" i="31"/>
  <c r="F466" i="31"/>
  <c r="F465" i="31"/>
  <c r="F460" i="31"/>
  <c r="F455" i="31"/>
  <c r="F449" i="31"/>
  <c r="F448" i="31"/>
  <c r="F447" i="31"/>
  <c r="F446" i="31"/>
  <c r="F445" i="31"/>
  <c r="F442" i="31"/>
  <c r="F438" i="31"/>
  <c r="F434" i="31"/>
  <c r="F427" i="31"/>
  <c r="C382" i="31"/>
  <c r="C381" i="31"/>
  <c r="C376" i="31"/>
  <c r="C375" i="31"/>
  <c r="C374" i="31"/>
  <c r="C373" i="31"/>
  <c r="C368" i="31"/>
  <c r="C367" i="31"/>
  <c r="C366" i="31"/>
  <c r="C365" i="31"/>
  <c r="C362" i="31"/>
  <c r="C361" i="31"/>
  <c r="C360" i="31"/>
  <c r="C359" i="31"/>
  <c r="C356" i="31"/>
  <c r="C355" i="31"/>
  <c r="C354" i="31"/>
  <c r="C353" i="31"/>
  <c r="C348" i="31"/>
  <c r="C347" i="31"/>
  <c r="C346" i="31"/>
  <c r="C345" i="31"/>
  <c r="C342" i="31"/>
  <c r="C339" i="31"/>
  <c r="C338" i="31"/>
  <c r="C333" i="31"/>
  <c r="C332" i="31"/>
  <c r="C331" i="31"/>
  <c r="C330" i="31"/>
  <c r="C329" i="31"/>
  <c r="C328" i="31"/>
  <c r="C327" i="31"/>
  <c r="C326" i="31"/>
  <c r="C325" i="31"/>
  <c r="C324" i="31"/>
  <c r="C321" i="31"/>
  <c r="C320" i="31"/>
  <c r="C317" i="31"/>
  <c r="C316" i="31"/>
  <c r="C313" i="31"/>
  <c r="C312" i="31"/>
  <c r="C311" i="31"/>
  <c r="C310" i="31"/>
  <c r="C309" i="31"/>
  <c r="C308" i="31"/>
  <c r="C307" i="31"/>
  <c r="C306" i="31"/>
  <c r="C305" i="31"/>
  <c r="C304" i="31"/>
  <c r="F299" i="31"/>
  <c r="C299" i="31"/>
  <c r="F298" i="31"/>
  <c r="C298" i="31"/>
  <c r="F297" i="31"/>
  <c r="C297" i="31"/>
  <c r="F292" i="31"/>
  <c r="C292" i="31"/>
  <c r="F291" i="31"/>
  <c r="C291" i="31"/>
  <c r="F286" i="31"/>
  <c r="C286" i="31"/>
  <c r="F285" i="31"/>
  <c r="C285" i="31"/>
  <c r="F284" i="31"/>
  <c r="C284" i="31"/>
  <c r="F283" i="31"/>
  <c r="C283" i="31"/>
  <c r="F282" i="31"/>
  <c r="C282" i="31"/>
  <c r="F281" i="31"/>
  <c r="C281" i="31"/>
  <c r="F278" i="31"/>
  <c r="C278" i="31"/>
  <c r="F277" i="31"/>
  <c r="C277" i="31"/>
  <c r="F276" i="31"/>
  <c r="C276" i="31"/>
  <c r="F275" i="31"/>
  <c r="C275" i="31"/>
  <c r="F274" i="31"/>
  <c r="C274" i="31"/>
  <c r="F273" i="31"/>
  <c r="C273" i="31"/>
  <c r="F272" i="31"/>
  <c r="C272" i="31"/>
  <c r="F271" i="31"/>
  <c r="C271" i="31"/>
  <c r="F268" i="31"/>
  <c r="C268" i="31"/>
  <c r="F265" i="31"/>
  <c r="C265" i="31"/>
  <c r="F264" i="31"/>
  <c r="C264" i="31"/>
  <c r="F263" i="31"/>
  <c r="C263" i="31"/>
  <c r="F262" i="31"/>
  <c r="C262" i="31"/>
  <c r="F261" i="31"/>
  <c r="C261" i="31"/>
  <c r="F260" i="31"/>
  <c r="C260" i="31"/>
  <c r="F259" i="31"/>
  <c r="C259" i="31"/>
  <c r="F258" i="31"/>
  <c r="C258" i="31"/>
  <c r="F257" i="31"/>
  <c r="C257" i="31"/>
  <c r="F256" i="31"/>
  <c r="C256" i="31"/>
  <c r="F255" i="31"/>
  <c r="C255" i="31"/>
  <c r="F252" i="31"/>
  <c r="C252" i="31"/>
  <c r="F251" i="31"/>
  <c r="C251" i="31"/>
  <c r="F250" i="31"/>
  <c r="C250" i="31"/>
  <c r="F249" i="31"/>
  <c r="C249" i="31"/>
  <c r="F248" i="31"/>
  <c r="C248" i="31"/>
  <c r="F247" i="31"/>
  <c r="C247" i="31"/>
  <c r="F246" i="31"/>
  <c r="C246" i="31"/>
  <c r="F245" i="31"/>
  <c r="C245" i="31"/>
  <c r="F244" i="31"/>
  <c r="C244" i="31"/>
  <c r="F243" i="31"/>
  <c r="C243" i="31"/>
  <c r="F242" i="31"/>
  <c r="C242" i="31"/>
  <c r="F237" i="31"/>
  <c r="C237" i="31"/>
  <c r="F236" i="31"/>
  <c r="C236" i="31"/>
  <c r="F235" i="31"/>
  <c r="C235" i="31"/>
  <c r="F234" i="31"/>
  <c r="C234" i="31"/>
  <c r="F233" i="31"/>
  <c r="C233" i="31"/>
  <c r="F232" i="31"/>
  <c r="C232" i="31"/>
  <c r="F231" i="31"/>
  <c r="C231" i="31"/>
  <c r="F230" i="31"/>
  <c r="C230" i="31"/>
  <c r="F229" i="31"/>
  <c r="C229" i="31"/>
  <c r="F228" i="31"/>
  <c r="C228" i="31"/>
  <c r="F225" i="31"/>
  <c r="C225" i="31"/>
  <c r="F220" i="31"/>
  <c r="C220" i="31"/>
  <c r="F219" i="31"/>
  <c r="C219" i="31"/>
  <c r="F218" i="31"/>
  <c r="C218" i="31"/>
  <c r="F217" i="31"/>
  <c r="C217" i="31"/>
  <c r="F216" i="31"/>
  <c r="C216" i="31"/>
  <c r="F215" i="31"/>
  <c r="C215" i="31"/>
  <c r="F214" i="31"/>
  <c r="C214" i="31"/>
  <c r="F213" i="31"/>
  <c r="C213" i="31"/>
  <c r="F212" i="31"/>
  <c r="C212" i="31"/>
  <c r="F211" i="31"/>
  <c r="C211" i="31"/>
  <c r="F208" i="31"/>
  <c r="C208" i="31"/>
  <c r="F207" i="31"/>
  <c r="C207" i="31"/>
  <c r="F202" i="31"/>
  <c r="C202" i="31"/>
  <c r="F199" i="31"/>
  <c r="C199" i="31"/>
  <c r="F196" i="31"/>
  <c r="C196" i="31"/>
  <c r="F195" i="31"/>
  <c r="C195" i="31"/>
  <c r="F194" i="31"/>
  <c r="C194" i="31"/>
  <c r="F193" i="31"/>
  <c r="C193" i="31"/>
  <c r="F192" i="31"/>
  <c r="C192" i="31"/>
  <c r="F191" i="31"/>
  <c r="C191" i="31"/>
  <c r="F190" i="31"/>
  <c r="C190" i="31"/>
  <c r="F189" i="31"/>
  <c r="C189" i="31"/>
  <c r="F186" i="31"/>
  <c r="C186" i="31"/>
  <c r="F185" i="31"/>
  <c r="C185" i="31"/>
  <c r="F182" i="31"/>
  <c r="C182" i="31"/>
  <c r="F181" i="31"/>
  <c r="C181" i="31"/>
  <c r="F178" i="31"/>
  <c r="F177" i="31"/>
  <c r="C177" i="31"/>
  <c r="F174" i="31"/>
  <c r="C174" i="31"/>
  <c r="F173" i="31"/>
  <c r="C173" i="31"/>
  <c r="F172" i="31"/>
  <c r="C172" i="31"/>
  <c r="F171" i="31"/>
  <c r="C171" i="31"/>
  <c r="F170" i="31"/>
  <c r="C170" i="31"/>
  <c r="F169" i="31"/>
  <c r="C169" i="31"/>
  <c r="F168" i="31"/>
  <c r="C168" i="31"/>
  <c r="F167" i="31"/>
  <c r="C167" i="31"/>
  <c r="F166" i="31"/>
  <c r="C166" i="31"/>
  <c r="F165" i="31"/>
  <c r="C165" i="31"/>
  <c r="F159" i="31"/>
  <c r="C159" i="31"/>
  <c r="F158" i="31"/>
  <c r="C158" i="31"/>
  <c r="F155" i="31"/>
  <c r="C155" i="31"/>
  <c r="F154" i="31"/>
  <c r="C154" i="31"/>
  <c r="F150" i="31"/>
  <c r="F149" i="31"/>
  <c r="F144" i="31"/>
  <c r="F137" i="31"/>
  <c r="F134" i="31"/>
  <c r="C134" i="31"/>
  <c r="F133" i="31"/>
  <c r="C133" i="31"/>
  <c r="F132" i="31"/>
  <c r="F129" i="31"/>
  <c r="F124" i="31"/>
  <c r="F121" i="31"/>
  <c r="F118" i="31"/>
  <c r="F113" i="31"/>
  <c r="F110" i="31"/>
  <c r="F109" i="31"/>
  <c r="F108" i="31"/>
  <c r="F107" i="31"/>
  <c r="F106" i="31"/>
  <c r="F105" i="31"/>
  <c r="F104" i="31"/>
  <c r="F103" i="31"/>
  <c r="F102" i="31"/>
  <c r="F99" i="31"/>
  <c r="F96" i="31"/>
  <c r="F93" i="31"/>
  <c r="F88" i="31"/>
  <c r="F87" i="31"/>
  <c r="F86" i="31"/>
  <c r="F82" i="31"/>
  <c r="C82" i="31"/>
  <c r="F81" i="31"/>
  <c r="C81" i="31"/>
  <c r="F76" i="31"/>
  <c r="F73" i="31"/>
  <c r="F69" i="31"/>
  <c r="F67" i="31"/>
  <c r="F66" i="31"/>
  <c r="C66" i="31"/>
  <c r="F65" i="31"/>
  <c r="F64" i="31"/>
  <c r="F63" i="31"/>
  <c r="F62" i="31"/>
  <c r="F61" i="31"/>
  <c r="F60" i="31"/>
  <c r="F59" i="31"/>
  <c r="F58" i="31"/>
  <c r="F57" i="31"/>
  <c r="F52" i="31"/>
  <c r="F49" i="31"/>
  <c r="F46" i="31"/>
  <c r="C46" i="31"/>
  <c r="F41" i="31"/>
  <c r="F38" i="31"/>
  <c r="C38" i="31"/>
  <c r="F33" i="31"/>
  <c r="C33" i="31"/>
  <c r="F32" i="31"/>
  <c r="F31" i="31"/>
  <c r="C31" i="31"/>
  <c r="F28" i="31"/>
  <c r="F25" i="31"/>
  <c r="C25" i="31"/>
  <c r="F22" i="31"/>
  <c r="F19" i="31"/>
  <c r="F16" i="31"/>
  <c r="F143" i="17"/>
  <c r="F139" i="17"/>
  <c r="F138" i="17"/>
  <c r="F133" i="17"/>
  <c r="F128" i="17"/>
  <c r="C128" i="17"/>
  <c r="F127" i="17"/>
  <c r="F126" i="17"/>
  <c r="C126" i="17"/>
  <c r="F125" i="17"/>
  <c r="F122" i="17"/>
  <c r="F117" i="17"/>
  <c r="F114" i="17"/>
  <c r="F111" i="17"/>
  <c r="F106" i="17"/>
  <c r="F105" i="17"/>
  <c r="F104" i="17"/>
  <c r="F103" i="17"/>
  <c r="F102" i="17"/>
  <c r="F101" i="17"/>
  <c r="F100" i="17"/>
  <c r="F99" i="17"/>
  <c r="F98" i="17"/>
  <c r="F97" i="17"/>
  <c r="F94" i="17"/>
  <c r="F91" i="17"/>
  <c r="F88" i="17"/>
  <c r="F83" i="17"/>
  <c r="F82" i="17"/>
  <c r="F81" i="17"/>
  <c r="F76" i="17"/>
  <c r="C76" i="17"/>
  <c r="F75" i="17"/>
  <c r="C75" i="17"/>
  <c r="F70" i="17"/>
  <c r="F68" i="17"/>
  <c r="F65" i="17"/>
  <c r="F64" i="17"/>
  <c r="F63" i="17"/>
  <c r="C63" i="17"/>
  <c r="F62" i="17"/>
  <c r="F61" i="17"/>
  <c r="F60" i="17"/>
  <c r="F59" i="17"/>
  <c r="F58" i="17"/>
  <c r="F57" i="17"/>
  <c r="F56" i="17"/>
  <c r="F55" i="17"/>
  <c r="F54" i="17"/>
  <c r="F49" i="17"/>
  <c r="F46" i="17"/>
  <c r="C46" i="17"/>
  <c r="F41" i="17"/>
  <c r="F38" i="17"/>
  <c r="C38" i="17"/>
  <c r="F32" i="17"/>
  <c r="C32" i="17"/>
  <c r="F31" i="17"/>
  <c r="F30" i="17"/>
  <c r="C30" i="17"/>
  <c r="F27" i="17"/>
  <c r="F24" i="17"/>
  <c r="C24" i="17"/>
  <c r="F21" i="17"/>
  <c r="F18" i="17"/>
  <c r="F15" i="17"/>
  <c r="F29" i="16"/>
  <c r="F26" i="16"/>
  <c r="C26" i="16"/>
  <c r="F25" i="16"/>
  <c r="F24" i="16"/>
  <c r="C24" i="16"/>
  <c r="F22" i="16"/>
  <c r="C22" i="16"/>
  <c r="F20" i="16"/>
  <c r="C20" i="16"/>
  <c r="F16" i="16"/>
  <c r="C16" i="16"/>
  <c r="F14" i="16"/>
  <c r="C14" i="16"/>
  <c r="G34" i="15"/>
  <c r="G33" i="15"/>
  <c r="G32" i="15"/>
  <c r="G31" i="15"/>
  <c r="G30" i="15"/>
  <c r="G29" i="15"/>
  <c r="G28" i="15"/>
  <c r="G27" i="15"/>
  <c r="G26" i="15"/>
  <c r="G25" i="15"/>
  <c r="G24" i="15"/>
  <c r="G23" i="15"/>
  <c r="G22" i="15"/>
  <c r="G21" i="15"/>
  <c r="G20" i="15"/>
  <c r="G19" i="15"/>
  <c r="G18" i="15"/>
  <c r="G17" i="15"/>
  <c r="D13" i="15"/>
  <c r="G70" i="14"/>
  <c r="G65" i="14"/>
  <c r="G64" i="14"/>
  <c r="G57" i="14"/>
  <c r="G51" i="14"/>
  <c r="G42" i="14"/>
  <c r="G35" i="14"/>
  <c r="G23" i="14"/>
  <c r="G15" i="14"/>
  <c r="D28" i="1"/>
</calcChain>
</file>

<file path=xl/sharedStrings.xml><?xml version="1.0" encoding="utf-8"?>
<sst xmlns="http://schemas.openxmlformats.org/spreadsheetml/2006/main" count="3184" uniqueCount="1845">
  <si>
    <t>諮詢卷宗</t>
  </si>
  <si>
    <t>工程量清單</t>
  </si>
  <si>
    <t>中國人壽保險（海外）股份有限公司辦公室裝修工程</t>
  </si>
  <si>
    <r>
      <rPr>
        <sz val="10"/>
        <rFont val="微軟正黑體"/>
        <family val="2"/>
      </rPr>
      <t>競投者</t>
    </r>
    <r>
      <rPr>
        <sz val="10"/>
        <rFont val="微軟正黑體"/>
        <family val="2"/>
      </rPr>
      <t>/公司名稱：</t>
    </r>
  </si>
  <si>
    <t>地址：</t>
  </si>
  <si>
    <t>聯絡電話：</t>
  </si>
  <si>
    <t>工程名稱：中國人壽保險（海外）股份有限公司辦公室裝修工程</t>
  </si>
  <si>
    <t>匯總表</t>
  </si>
  <si>
    <t>專業分項</t>
  </si>
  <si>
    <t>金額 (澳門幣)</t>
  </si>
  <si>
    <t>A.</t>
  </si>
  <si>
    <t>第一章</t>
  </si>
  <si>
    <t>開辦項目</t>
  </si>
  <si>
    <t>B.</t>
  </si>
  <si>
    <t>第二章</t>
  </si>
  <si>
    <t>拆卸工程</t>
  </si>
  <si>
    <t>C.</t>
  </si>
  <si>
    <t>第三章</t>
  </si>
  <si>
    <t>結構項目</t>
  </si>
  <si>
    <t>D.</t>
  </si>
  <si>
    <t>第四章</t>
  </si>
  <si>
    <t>天花項目</t>
  </si>
  <si>
    <t>E.</t>
  </si>
  <si>
    <t>第五章</t>
  </si>
  <si>
    <t>裝修部份</t>
  </si>
  <si>
    <t>F.</t>
  </si>
  <si>
    <t>第六章</t>
  </si>
  <si>
    <t>門及間斷部份</t>
  </si>
  <si>
    <t>G.</t>
  </si>
  <si>
    <t>第七章</t>
  </si>
  <si>
    <t>傢具部份</t>
  </si>
  <si>
    <t>H.</t>
  </si>
  <si>
    <t>第八章</t>
  </si>
  <si>
    <t>空調通風系統項目</t>
  </si>
  <si>
    <t>I.</t>
  </si>
  <si>
    <t>第九章</t>
  </si>
  <si>
    <t>弱電系統項目</t>
  </si>
  <si>
    <t>J.</t>
  </si>
  <si>
    <t>第十章</t>
  </si>
  <si>
    <t>強電系統項目</t>
  </si>
  <si>
    <t>K.</t>
  </si>
  <si>
    <t>第十一章</t>
  </si>
  <si>
    <t>供排水系統項目</t>
  </si>
  <si>
    <t>L.</t>
  </si>
  <si>
    <t>第十二章</t>
  </si>
  <si>
    <t>消防系統項目</t>
  </si>
  <si>
    <t>M.</t>
  </si>
  <si>
    <t>第十三章</t>
  </si>
  <si>
    <t>其他</t>
  </si>
  <si>
    <t>[註: 本章為投標人完善實施對本工程而提出必須補充報價之項目]</t>
  </si>
  <si>
    <t>投標總價 (含稅價)</t>
  </si>
  <si>
    <t>競投者簽署及蓋章</t>
  </si>
  <si>
    <t>年           月            日</t>
  </si>
  <si>
    <r>
      <rPr>
        <sz val="10"/>
        <rFont val="微軟正黑體"/>
        <family val="2"/>
      </rPr>
      <t xml:space="preserve">A.  第一章  </t>
    </r>
    <r>
      <rPr>
        <u/>
        <sz val="10"/>
        <rFont val="Times New Roman"/>
        <family val="1"/>
      </rPr>
      <t> </t>
    </r>
    <r>
      <rPr>
        <u/>
        <sz val="10"/>
        <rFont val="微軟正黑體"/>
        <family val="2"/>
      </rPr>
      <t>開辦項目</t>
    </r>
  </si>
  <si>
    <r>
      <rPr>
        <sz val="10"/>
        <rFont val="微軟正黑體"/>
        <family val="2"/>
      </rPr>
      <t>項目</t>
    </r>
  </si>
  <si>
    <r>
      <rPr>
        <sz val="10"/>
        <rFont val="微軟正黑體"/>
        <family val="2"/>
      </rPr>
      <t>工作摘要</t>
    </r>
  </si>
  <si>
    <r>
      <rPr>
        <sz val="10"/>
        <rFont val="微軟正黑體"/>
        <family val="2"/>
      </rPr>
      <t>數量</t>
    </r>
  </si>
  <si>
    <r>
      <rPr>
        <sz val="10"/>
        <rFont val="微軟正黑體"/>
        <family val="2"/>
      </rPr>
      <t>單位</t>
    </r>
  </si>
  <si>
    <r>
      <rPr>
        <sz val="10"/>
        <rFont val="微軟正黑體"/>
        <family val="2"/>
      </rPr>
      <t>單價
(澳門幣)</t>
    </r>
  </si>
  <si>
    <r>
      <rPr>
        <sz val="10"/>
        <rFont val="微軟正黑體"/>
        <family val="2"/>
      </rPr>
      <t>合價
(澳門幣)</t>
    </r>
  </si>
  <si>
    <r>
      <rPr>
        <sz val="10"/>
        <rFont val="微軟正黑體"/>
        <family val="2"/>
      </rPr>
      <t>備註:</t>
    </r>
  </si>
  <si>
    <r>
      <rPr>
        <sz val="10"/>
        <rFont val="微軟正黑體"/>
        <family val="2"/>
      </rPr>
      <t>*</t>
    </r>
  </si>
  <si>
    <r>
      <rPr>
        <sz val="10"/>
        <rFont val="微軟正黑體"/>
        <family val="2"/>
      </rPr>
      <t>本 '第一章 - 開辦項目', 本工程承包人應參照各項說明內容,</t>
    </r>
  </si>
  <si>
    <t>並綜合現場實況和相關規範資料後填報各指定細項的報價金額。若本工</t>
  </si>
  <si>
    <r>
      <rPr>
        <sz val="10"/>
        <rFont val="微軟正黑體"/>
        <family val="2"/>
      </rPr>
      <t>程承包人認為本章列項存在缺漏情況的, 可自行把對應補充項目詳列於</t>
    </r>
  </si>
  <si>
    <t>第十三章 - 其他' 內和填寫投標報價金額,</t>
  </si>
  <si>
    <r>
      <rPr>
        <sz val="10"/>
        <rFont val="微軟正黑體"/>
        <family val="2"/>
      </rPr>
      <t>上述補充項目將視為組成本工程投標總價的其中部份。</t>
    </r>
  </si>
  <si>
    <r>
      <rPr>
        <sz val="10"/>
        <rFont val="微軟正黑體"/>
        <family val="2"/>
      </rPr>
      <t>A1</t>
    </r>
  </si>
  <si>
    <r>
      <rPr>
        <sz val="10"/>
        <rFont val="微軟正黑體"/>
        <family val="2"/>
      </rPr>
      <t>購買工作意外和職業病保險</t>
    </r>
  </si>
  <si>
    <r>
      <rPr>
        <sz val="10"/>
        <rFont val="微軟正黑體"/>
        <family val="2"/>
      </rPr>
      <t>項</t>
    </r>
  </si>
  <si>
    <r>
      <rPr>
        <sz val="10"/>
        <rFont val="微軟正黑體"/>
        <family val="2"/>
      </rPr>
      <t>註明:</t>
    </r>
  </si>
  <si>
    <r>
      <rPr>
        <sz val="10"/>
        <rFont val="微軟正黑體"/>
        <family val="2"/>
      </rPr>
      <t>-</t>
    </r>
  </si>
  <si>
    <r>
      <rPr>
        <sz val="10"/>
        <rFont val="微軟正黑體"/>
        <family val="2"/>
      </rPr>
      <t>本項保險俗稱 ’勞工保險’ 或 (CW) Employees’</t>
    </r>
  </si>
  <si>
    <r>
      <rPr>
        <sz val="10"/>
        <rFont val="微軟正黑體"/>
        <family val="2"/>
      </rPr>
      <t>Compensation），本保險理賠條款按照澳門現行相關法律法規執行。此</t>
    </r>
  </si>
  <si>
    <r>
      <rPr>
        <sz val="10"/>
        <rFont val="微軟正黑體"/>
        <family val="2"/>
      </rPr>
      <t>保險受益人包括本工程承攬人直接僱員及其分判商僱員。</t>
    </r>
  </si>
  <si>
    <r>
      <rPr>
        <sz val="10"/>
        <rFont val="微軟正黑體"/>
        <family val="2"/>
      </rPr>
      <t>本保險覆蓋之理賠週期應滿足但不限於本工程事實之現場施工期和工程</t>
    </r>
  </si>
  <si>
    <r>
      <rPr>
        <sz val="10"/>
        <rFont val="微軟正黑體"/>
        <family val="2"/>
      </rPr>
      <t>成品質量保證期。</t>
    </r>
  </si>
  <si>
    <r>
      <rPr>
        <sz val="10"/>
        <rFont val="微軟正黑體"/>
        <family val="2"/>
      </rPr>
      <t>A2</t>
    </r>
  </si>
  <si>
    <r>
      <rPr>
        <sz val="10"/>
        <rFont val="微軟正黑體"/>
        <family val="2"/>
      </rPr>
      <t>搭建臨時圍板、出入口門、射燈等設施及廣告貼紙</t>
    </r>
  </si>
  <si>
    <r>
      <rPr>
        <sz val="10"/>
        <rFont val="微軟正黑體"/>
        <family val="2"/>
      </rPr>
      <t>承攬人負責於在本項目舖位外圍公共區域/通道上搭建供本工程使用之臨</t>
    </r>
  </si>
  <si>
    <r>
      <rPr>
        <sz val="10"/>
        <rFont val="微軟正黑體"/>
        <family val="2"/>
      </rPr>
      <t>時圍板、射燈等設施及廣告貼紙, 包括負責日常維護管理等;</t>
    </r>
  </si>
  <si>
    <r>
      <rPr>
        <sz val="10"/>
        <rFont val="微軟正黑體"/>
        <family val="2"/>
      </rPr>
      <t>在有必須情況下,承攬人建造的本項設施需要無償提供予定作人或定作人</t>
    </r>
  </si>
  <si>
    <r>
      <rPr>
        <sz val="10"/>
        <rFont val="微軟正黑體"/>
        <family val="2"/>
      </rPr>
      <t>派駐現場的其他第三方專業承辦商共同使用;</t>
    </r>
  </si>
  <si>
    <r>
      <rPr>
        <sz val="10"/>
        <rFont val="微軟正黑體"/>
        <family val="2"/>
      </rPr>
      <t>承攬人負責向場地業主方及其代表機構或其他相關行政監管部門辦理建</t>
    </r>
  </si>
  <si>
    <r>
      <rPr>
        <sz val="10"/>
        <rFont val="微軟正黑體"/>
        <family val="2"/>
      </rPr>
      <t>設本項設施所必須的呈批文申請手續,並負責提供/出版一切申請手續必須</t>
    </r>
  </si>
  <si>
    <r>
      <rPr>
        <sz val="10"/>
        <rFont val="微軟正黑體"/>
        <family val="2"/>
      </rPr>
      <t>之文件資料、保險、工程計劃等, 至最終獲發相關批文的結果;</t>
    </r>
  </si>
  <si>
    <r>
      <rPr>
        <sz val="10"/>
        <rFont val="微軟正黑體"/>
        <family val="2"/>
      </rPr>
      <t>詳情按照符合澳門現行相關法律法規和行政指引、場地業主方及其代表</t>
    </r>
  </si>
  <si>
    <r>
      <rPr>
        <sz val="10"/>
        <rFont val="微軟正黑體"/>
        <family val="2"/>
      </rPr>
      <t>機構的現行指引執行, 包括提供一切物料和工序。</t>
    </r>
  </si>
  <si>
    <r>
      <rPr>
        <sz val="10"/>
        <rFont val="微軟正黑體"/>
        <family val="2"/>
      </rPr>
      <t>A3</t>
    </r>
  </si>
  <si>
    <r>
      <rPr>
        <sz val="10"/>
        <rFont val="微軟正黑體"/>
        <family val="2"/>
      </rPr>
      <t>工程人員進駐現場之行政手續及管理</t>
    </r>
  </si>
  <si>
    <r>
      <rPr>
        <sz val="10"/>
        <rFont val="微軟正黑體"/>
        <family val="2"/>
      </rPr>
      <t>於本工程實施期間為場內所有工程人員</t>
    </r>
  </si>
  <si>
    <r>
      <rPr>
        <sz val="10"/>
        <rFont val="微軟正黑體"/>
        <family val="2"/>
      </rPr>
      <t>(包括本工程承包方、甲方和場地業主方及其代表機構指派進場的指定第</t>
    </r>
  </si>
  <si>
    <r>
      <rPr>
        <sz val="10"/>
        <rFont val="微軟正黑體"/>
        <family val="2"/>
      </rPr>
      <t>三方承辦商等人員) 辦理一切所需進、退場申請手續,</t>
    </r>
  </si>
  <si>
    <r>
      <rPr>
        <sz val="10"/>
        <rFont val="微軟正黑體"/>
        <family val="2"/>
      </rPr>
      <t>詳情按照場地業主方及其代表機構提供的指引等執行。</t>
    </r>
  </si>
  <si>
    <r>
      <rPr>
        <sz val="10"/>
        <rFont val="微軟正黑體"/>
        <family val="2"/>
      </rPr>
      <t>A4</t>
    </r>
  </si>
  <si>
    <r>
      <rPr>
        <sz val="10"/>
        <rFont val="微軟正黑體"/>
        <family val="2"/>
      </rPr>
      <t>工程管理及安全督導員</t>
    </r>
  </si>
  <si>
    <r>
      <rPr>
        <sz val="10"/>
        <rFont val="微軟正黑體"/>
        <family val="2"/>
      </rPr>
      <t>於本工程實施期間派專責主管人員對場內所有工程人員和具法定資格的</t>
    </r>
  </si>
  <si>
    <r>
      <rPr>
        <sz val="10"/>
        <rFont val="微軟正黑體"/>
        <family val="2"/>
      </rPr>
      <t>安全督導員駐場, 對場內所有工程人員</t>
    </r>
  </si>
  <si>
    <r>
      <rPr>
        <sz val="10"/>
        <rFont val="微軟正黑體"/>
        <family val="2"/>
      </rPr>
      <t>三方承辦商等人員) 進行安全管理,</t>
    </r>
  </si>
  <si>
    <r>
      <rPr>
        <sz val="10"/>
        <rFont val="微軟正黑體"/>
        <family val="2"/>
      </rPr>
      <t>並需負責與各上給管理機構保持良好溝通。操作詳情按照澳門現行法律</t>
    </r>
  </si>
  <si>
    <r>
      <rPr>
        <sz val="10"/>
        <rFont val="微軟正黑體"/>
        <family val="2"/>
      </rPr>
      <t>法規和場地業主方及其代表機構提供的指引等執行。</t>
    </r>
  </si>
  <si>
    <r>
      <rPr>
        <sz val="10"/>
        <rFont val="微軟正黑體"/>
        <family val="2"/>
      </rPr>
      <t>A5</t>
    </r>
  </si>
  <si>
    <r>
      <rPr>
        <sz val="10"/>
        <rFont val="微軟正黑體"/>
        <family val="2"/>
      </rPr>
      <t>工程廢料清運至場地業主方及其代表機構指定的本項目所在商後勤範圍</t>
    </r>
  </si>
  <si>
    <r>
      <rPr>
        <sz val="10"/>
        <rFont val="微軟正黑體"/>
        <family val="2"/>
      </rPr>
      <t>垃圾收集區內堆放和配合清運離場</t>
    </r>
  </si>
  <si>
    <r>
      <rPr>
        <sz val="10"/>
        <rFont val="微軟正黑體"/>
        <family val="2"/>
      </rPr>
      <t>包括提供一切必須之人工、運輸設備和廢料包裝等器具,</t>
    </r>
  </si>
  <si>
    <r>
      <rPr>
        <sz val="10"/>
        <rFont val="微軟正黑體"/>
        <family val="2"/>
      </rPr>
      <t>操作詳情按照場地業主方及其代表機構提供的指引等執行。</t>
    </r>
  </si>
  <si>
    <r>
      <rPr>
        <sz val="10"/>
        <rFont val="微軟正黑體"/>
        <family val="2"/>
      </rPr>
      <t>A6</t>
    </r>
  </si>
  <si>
    <r>
      <rPr>
        <sz val="10"/>
        <rFont val="微軟正黑體"/>
        <family val="2"/>
      </rPr>
      <t>於本工程實施期間對場內工程廢料進行定期清理</t>
    </r>
  </si>
  <si>
    <r>
      <rPr>
        <sz val="10"/>
        <rFont val="微軟正黑體"/>
        <family val="2"/>
      </rPr>
      <t>負責每日定期清理一切由本工程承包方、本工程合同甲方和場地業主方</t>
    </r>
  </si>
  <si>
    <r>
      <rPr>
        <sz val="10"/>
        <rFont val="微軟正黑體"/>
        <family val="2"/>
      </rPr>
      <t>及其代表機構指派進場的指定第三方承辦商等在本工程實施期間於場內</t>
    </r>
  </si>
  <si>
    <r>
      <rPr>
        <sz val="10"/>
        <rFont val="微軟正黑體"/>
        <family val="2"/>
      </rPr>
      <t>產生的任何工程廢料,</t>
    </r>
  </si>
  <si>
    <r>
      <rPr>
        <sz val="10"/>
        <rFont val="微軟正黑體"/>
        <family val="2"/>
      </rPr>
      <t>操作詳情按照本工程合同甲方和場地業主方及其代表機構提供的指引執</t>
    </r>
  </si>
  <si>
    <r>
      <rPr>
        <sz val="10"/>
        <rFont val="微軟正黑體"/>
        <family val="2"/>
      </rPr>
      <t>行。</t>
    </r>
  </si>
  <si>
    <r>
      <rPr>
        <sz val="10"/>
        <rFont val="微軟正黑體"/>
        <family val="2"/>
      </rPr>
      <t>A7
*
-</t>
    </r>
  </si>
  <si>
    <r>
      <rPr>
        <sz val="10"/>
        <rFont val="微軟正黑體"/>
        <family val="2"/>
      </rPr>
      <t>工程竣工清潔註明:
於工程竣工場地交接前對所有工程成品進行徹底清潔,
達至甲方於接收後可直接搬入場地和立即使用設施的條件。</t>
    </r>
  </si>
  <si>
    <r>
      <rPr>
        <sz val="10"/>
        <rFont val="微軟正黑體"/>
        <family val="2"/>
      </rPr>
      <t>A8
*
-</t>
    </r>
  </si>
  <si>
    <r>
      <rPr>
        <sz val="10"/>
        <rFont val="微軟正黑體"/>
        <family val="2"/>
      </rPr>
      <t>設計、編制和出版經輯錄成冊的本工程施工圖則資料和竣工圖則資料等文件
註明:
包括但不限於各專業之平面圖、節點大樣圖、系統圖、各類主/輔材料和設施設備等的產品技術資料、各類證書和檢測報告/證書、送貨單等工程圖則、資料文件,
有關圖則資料的編制準則必須符合相關政府部門現行法律法規和場地業主方及其代表機構提供的指引等執行。</t>
    </r>
  </si>
  <si>
    <r>
      <rPr>
        <sz val="10"/>
        <rFont val="微軟正黑體"/>
        <family val="2"/>
      </rPr>
      <t>A9</t>
    </r>
  </si>
  <si>
    <t>工程中各工種需要工加班費用
（以達成於裝修工程的總工期90曆日內完成）</t>
  </si>
  <si>
    <t>A10</t>
  </si>
  <si>
    <t>承攬人須按有關法律、章程、法例等之要求，於適當時間內完成提交有關所需之文件，申請及領取各類政府、部門、單位等的審批、批准照及許可等，使工程能展開直至完工，包括但不限於：向澳門相關政府部門入則(更改工程計劃)、取得相關工程准照或工程預先准照。</t>
  </si>
  <si>
    <t>A12</t>
  </si>
  <si>
    <t>其他為乎合本合同文件的要求(包括承攬規則等)而實施本工程所產生的費用，但未有於上方列出之項目，例如施工管理圑隊及臨時水電等。</t>
  </si>
  <si>
    <t>A13</t>
  </si>
  <si>
    <t>與本項目其他同場工程施工單位協調，包括但不限於進出施工場地的通道、施工方法程序等，以配合整體項目施工，相關的協調工作涵蓋合同施工期及保養期的時間。</t>
  </si>
  <si>
    <r>
      <rPr>
        <b/>
        <sz val="10"/>
        <rFont val="微軟正黑體"/>
        <family val="2"/>
      </rPr>
      <t xml:space="preserve">第一章  </t>
    </r>
    <r>
      <rPr>
        <u/>
        <sz val="10"/>
        <rFont val="Times New Roman"/>
        <family val="1"/>
      </rPr>
      <t> </t>
    </r>
    <r>
      <rPr>
        <b/>
        <u/>
        <sz val="10"/>
        <rFont val="微軟正黑體"/>
        <family val="2"/>
      </rPr>
      <t>開辦項目</t>
    </r>
    <r>
      <rPr>
        <b/>
        <sz val="10"/>
        <rFont val="微軟正黑體"/>
        <family val="2"/>
      </rPr>
      <t xml:space="preserve"> 合計金額: (澳門幣)</t>
    </r>
  </si>
  <si>
    <r>
      <rPr>
        <sz val="10"/>
        <rFont val="微軟正黑體"/>
        <family val="2"/>
      </rPr>
      <t>B.  第二章   </t>
    </r>
    <r>
      <rPr>
        <u/>
        <sz val="10"/>
        <rFont val="微軟正黑體"/>
        <family val="2"/>
      </rPr>
      <t>拆卸工程</t>
    </r>
    <r>
      <rPr>
        <sz val="10"/>
        <rFont val="微軟正黑體"/>
        <family val="2"/>
      </rPr>
      <t xml:space="preserve">  </t>
    </r>
  </si>
  <si>
    <r>
      <rPr>
        <sz val="10"/>
        <rFont val="微軟正黑體"/>
        <family val="2"/>
      </rPr>
      <t>關於本 '第二章 - 拆卸工程', 本工程承包人應參照各項說明內容,
並綜合現場實況和相關規範資料後填報各指定細項的報價金額。若本工程承包人認為本章列項存在缺漏情況的, 可自行把對應補充項目詳列於
'第</t>
    </r>
    <r>
      <rPr>
        <sz val="10"/>
        <rFont val="宋体"/>
      </rPr>
      <t>十三</t>
    </r>
    <r>
      <rPr>
        <sz val="10"/>
        <rFont val="微軟正黑體"/>
        <family val="2"/>
      </rPr>
      <t>章 - 其他' 內和填寫投標報價金額,
上述補充項目將視為組成本工程投標總價的其中部份。</t>
    </r>
  </si>
  <si>
    <r>
      <rPr>
        <sz val="10"/>
        <rFont val="微軟正黑體"/>
        <family val="2"/>
      </rPr>
      <t>拆卸工程包括搬運、清理垃圾至指定合法棄置場。</t>
    </r>
  </si>
  <si>
    <r>
      <rPr>
        <sz val="10"/>
        <rFont val="微軟正黑體"/>
        <family val="2"/>
      </rPr>
      <t>B1</t>
    </r>
  </si>
  <si>
    <t>按業主要求及現場條件;包括拆除牆體，飾面，管道及門等一切物料，以及一切所需工序（20層公共區域）</t>
  </si>
  <si>
    <r>
      <rPr>
        <sz val="10"/>
        <rFont val="微軟正黑體"/>
        <family val="2"/>
      </rPr>
      <t>平方米</t>
    </r>
  </si>
  <si>
    <r>
      <rPr>
        <sz val="10"/>
        <rFont val="微軟正黑體"/>
        <family val="2"/>
      </rPr>
      <t>B2</t>
    </r>
  </si>
  <si>
    <t>按業主要求及現場條件;包括拆除牆體，飾面，管道及門等一切物料，以及一切所需工序（22層公共區域）</t>
  </si>
  <si>
    <t>B3</t>
  </si>
  <si>
    <t>按業主要求及現場條件;包括拆除牆體，飾面，管道及門等一切物料，以及一切所需工序（20層衛生間）</t>
  </si>
  <si>
    <t>B4</t>
  </si>
  <si>
    <t>按業主要求及現場條件;包括拆除牆體，飾面，管道及門等一切物料，以及一切所需工序（22層衛生間）</t>
  </si>
  <si>
    <r>
      <rPr>
        <b/>
        <sz val="10"/>
        <rFont val="微軟正黑體"/>
        <family val="2"/>
      </rPr>
      <t xml:space="preserve">第二章  </t>
    </r>
    <r>
      <rPr>
        <u/>
        <sz val="10"/>
        <rFont val="Times New Roman"/>
        <family val="1"/>
      </rPr>
      <t> </t>
    </r>
    <r>
      <rPr>
        <b/>
        <u/>
        <sz val="10"/>
        <rFont val="微軟正黑體"/>
        <family val="2"/>
      </rPr>
      <t>拆卸工程</t>
    </r>
    <r>
      <rPr>
        <b/>
        <sz val="10"/>
        <rFont val="微軟正黑體"/>
        <family val="2"/>
      </rPr>
      <t xml:space="preserve"> 合計金額: (澳門幣)</t>
    </r>
  </si>
  <si>
    <t>C.  第三章  結構項目</t>
  </si>
  <si>
    <r>
      <rPr>
        <sz val="10"/>
        <rFont val="微軟正黑體"/>
        <family val="2"/>
      </rPr>
      <t>項目</t>
    </r>
  </si>
  <si>
    <r>
      <rPr>
        <sz val="10"/>
        <rFont val="微軟正黑體"/>
        <family val="2"/>
      </rPr>
      <t>工作摘要</t>
    </r>
  </si>
  <si>
    <r>
      <rPr>
        <sz val="10"/>
        <rFont val="微軟正黑體"/>
        <family val="2"/>
      </rPr>
      <t>數量</t>
    </r>
  </si>
  <si>
    <r>
      <rPr>
        <sz val="10"/>
        <rFont val="微軟正黑體"/>
        <family val="2"/>
      </rPr>
      <t>單位</t>
    </r>
  </si>
  <si>
    <r>
      <rPr>
        <sz val="10"/>
        <rFont val="微軟正黑體"/>
        <family val="2"/>
      </rPr>
      <t>單價
(澳門幣)</t>
    </r>
  </si>
  <si>
    <r>
      <rPr>
        <sz val="10"/>
        <rFont val="微軟正黑體"/>
        <family val="2"/>
      </rPr>
      <t>合價
(澳門幣)</t>
    </r>
  </si>
  <si>
    <r>
      <rPr>
        <sz val="10"/>
        <rFont val="微軟正黑體"/>
        <family val="2"/>
      </rPr>
      <t>備註:</t>
    </r>
  </si>
  <si>
    <r>
      <rPr>
        <sz val="10"/>
        <rFont val="微軟正黑體"/>
        <family val="2"/>
      </rPr>
      <t>*</t>
    </r>
  </si>
  <si>
    <t>關於本 '第三章 - 結構項目',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</si>
  <si>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r>
      <rPr>
        <sz val="10"/>
        <rFont val="微軟正黑體"/>
        <family val="2"/>
      </rPr>
      <t>本項目設施及建材必須符合國際建築規範和澳門政府部門應可之規範實施並達至竣工檢驗合格之標準,
相關設施及建材必須附有符合國際建築規範和澳門政府部門應可之技術檢測報告/證書等文件。</t>
    </r>
  </si>
  <si>
    <r>
      <rPr>
        <sz val="10"/>
        <rFont val="微軟正黑體"/>
        <family val="2"/>
      </rPr>
      <t>C1</t>
    </r>
  </si>
  <si>
    <t>經認可之石膏板隔牆(內加吸音礦棉)，等所需的一切工序</t>
  </si>
  <si>
    <r>
      <rPr>
        <sz val="10"/>
        <rFont val="微軟正黑體"/>
        <family val="2"/>
      </rPr>
      <t>C1.1</t>
    </r>
  </si>
  <si>
    <t>平方米</t>
  </si>
  <si>
    <t>C1.2</t>
  </si>
  <si>
    <t>C2</t>
  </si>
  <si>
    <t xml:space="preserve">經認可之磚牆，包括構造柱、圈梁、過梁、導牆、磚網、磚牆內鋼筋等所需的一切工序；120 mm 厚牆。
</t>
  </si>
  <si>
    <t>C2.1</t>
  </si>
  <si>
    <t>120 mm 厚牆。（20層,衛生間）</t>
  </si>
  <si>
    <t>C2.2</t>
  </si>
  <si>
    <t>120 mm 厚牆。（22層，衛生間）</t>
  </si>
  <si>
    <t>120 mm 厚牆（雙面貼鋼板）。（22層，保險庫1）</t>
  </si>
  <si>
    <t>C3</t>
  </si>
  <si>
    <t>批蕩；平均25mm厚(實際厚度按現場/圖紙調整)；22層；</t>
  </si>
  <si>
    <r>
      <rPr>
        <b/>
        <sz val="10"/>
        <rFont val="微軟正黑體"/>
        <family val="2"/>
      </rPr>
      <t xml:space="preserve">第三章  </t>
    </r>
    <r>
      <rPr>
        <u/>
        <sz val="10"/>
        <rFont val="微軟正黑體"/>
        <family val="2"/>
      </rPr>
      <t> 結構項目</t>
    </r>
    <r>
      <rPr>
        <b/>
        <sz val="10"/>
        <rFont val="微軟正黑體"/>
        <family val="2"/>
      </rPr>
      <t xml:space="preserve"> 合計金額: (澳門幣)</t>
    </r>
  </si>
  <si>
    <t>D.  第四章  天花項目</t>
  </si>
  <si>
    <t>項目</t>
  </si>
  <si>
    <t>工作摘要</t>
  </si>
  <si>
    <t>數量</t>
  </si>
  <si>
    <t>單位</t>
  </si>
  <si>
    <t>備註:</t>
  </si>
  <si>
    <t>*</t>
  </si>
  <si>
    <t>關於本 '第四章 - 天花項目',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</si>
  <si>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t>D1</t>
  </si>
  <si>
    <t>20層，內部辦公區天花工程</t>
  </si>
  <si>
    <t>D1.1</t>
  </si>
  <si>
    <t>於20層，36人辦公區</t>
  </si>
  <si>
    <r>
      <t>設計，供應及安裝</t>
    </r>
    <r>
      <rPr>
        <b/>
        <sz val="10"/>
        <rFont val="微軟正黑體"/>
        <family val="2"/>
      </rPr>
      <t>木紋</t>
    </r>
    <r>
      <rPr>
        <sz val="10"/>
        <rFont val="微軟正黑體"/>
        <family val="2"/>
      </rPr>
      <t>鋁通格柵假天花系統（1.2mm厚灰色鋁通）
按圖紙及技術規範要求包括但不限於燈槽、石膏天花、灰色鋁通格柵假天花系統、原頂天花噴塗黑色乳膠漆、懸掛糸統、Ø8鍍鋅通絲吊杆、不鏽鋼幹掛構件、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(量度方法：只計算天花平面面積)</t>
    </r>
  </si>
  <si>
    <t>D1.3</t>
  </si>
  <si>
    <t>於20層，12人會議室</t>
  </si>
  <si>
    <t>於天花位置，供應及安裝木紋吸音鋁板假天花吊頂（包含乳膠漆），連跌級吊頂及不鏽鋼裝飾線條，中間跌級吊頂為發光燈膜，包括所需之材料及一切工序。
(量度方法：只計算天花平面面積)</t>
  </si>
  <si>
    <t>D1.4</t>
  </si>
  <si>
    <t>於20層，茶水間/圖書室</t>
  </si>
  <si>
    <t>D1.5</t>
  </si>
  <si>
    <t>於20層，檔案室3/4/5</t>
  </si>
  <si>
    <t>D1.6</t>
  </si>
  <si>
    <t>於20層，獨立間</t>
  </si>
  <si>
    <t>D1.7</t>
  </si>
  <si>
    <t>於20層，主管辦公室（3間）</t>
  </si>
  <si>
    <t>於20層，主管辦公室（1間）</t>
  </si>
  <si>
    <t>於20層，總經理辦公室（2間）</t>
  </si>
  <si>
    <t>D2</t>
  </si>
  <si>
    <t>20層，會所VIP天花工程</t>
  </si>
  <si>
    <t>D2.1</t>
  </si>
  <si>
    <t>於20層，簽約室1/2/3</t>
  </si>
  <si>
    <t>D2.2</t>
  </si>
  <si>
    <t>於20層，會所VIP（包含休閒區、簽約室4/5）</t>
  </si>
  <si>
    <t>於天花位置，提供及安裝雙層石膏板天花（包含乳膠漆），包含異形跌級造型線槽及不鏽鋼裝飾線條，中間跌級吊頂為發光燈膜，包括所需之材料及一切工序，詳見效果圖；
(量度方法：只計算天花平面面積)</t>
  </si>
  <si>
    <t>D3</t>
  </si>
  <si>
    <t>20層，大型會議室天花工程</t>
  </si>
  <si>
    <t>D3.1</t>
  </si>
  <si>
    <t>於20層，收納間/音控收納/冷氣機房</t>
  </si>
  <si>
    <t>D3.2</t>
  </si>
  <si>
    <t>於20層，培訓室</t>
  </si>
  <si>
    <t>於天花位置，供應及安裝木紋吸音鋁板假天花吊頂（包含乳膠漆），連跌級吊頂及不鏽鋼裝飾線條，中間跌級吊頂為發光燈膜，包括所需之材料及一切工序，詳見效果圖；
(量度方法：只計算天花平面面積)</t>
  </si>
  <si>
    <t>D4</t>
  </si>
  <si>
    <t>20層，代理人辦公區及接待區天花工程</t>
  </si>
  <si>
    <t>D4.1</t>
  </si>
  <si>
    <t>D4.1.1</t>
  </si>
  <si>
    <t>於20層，洽談室1</t>
  </si>
  <si>
    <t>D4.1.2</t>
  </si>
  <si>
    <t>於20層，洽談室2</t>
  </si>
  <si>
    <t>D4.1.3</t>
  </si>
  <si>
    <t>於20層，接待處</t>
  </si>
  <si>
    <t>D4.1.4</t>
  </si>
  <si>
    <t>於20層，主管辦公室</t>
  </si>
  <si>
    <t>D4.1.5</t>
  </si>
  <si>
    <t>於20層，6人辦公區</t>
  </si>
  <si>
    <t>D4.1.6</t>
  </si>
  <si>
    <t>於20層，洽談室3</t>
  </si>
  <si>
    <t>D4.1.7</t>
  </si>
  <si>
    <t>於20層，洽談室4</t>
  </si>
  <si>
    <t>D4.1.8</t>
  </si>
  <si>
    <t>D4.1.9</t>
  </si>
  <si>
    <t>D4.1.10</t>
  </si>
  <si>
    <t>於20層，代理主管辦公室1-3</t>
  </si>
  <si>
    <t>D4.1.11</t>
  </si>
  <si>
    <t>於20層，10人會議室</t>
  </si>
  <si>
    <t>D4.1.12</t>
  </si>
  <si>
    <t>於20層，茶水間</t>
  </si>
  <si>
    <t>D4.2</t>
  </si>
  <si>
    <t>於20層，代理辦公室</t>
  </si>
  <si>
    <t>設計，供應及安裝黑色鋁合金連雙層石膏板天花（包含乳膠漆）
按圖紙及技術規範要求包括但不限於燈槽、石膏天花、鋁合金假天花系統、原頂天花噴塗黑色乳膠漆、懸掛糸統、Ø8鍍鋅通絲吊杆、不鏽鋼幹掛構件、支架、構件、預埋件、設備洞口的加固、切口、修口、收邊等所需的一切材料及工序（詳見效果圖），詳見效果圖；
(量度方法：只計算天花平面面積)</t>
  </si>
  <si>
    <t>D4.3</t>
  </si>
  <si>
    <t>於20層，客服區</t>
  </si>
  <si>
    <t>於天花位置，供應及安裝造型雙層石膏板天花（包含乳膠漆），連造型跌級吊頂及不鏽鋼裝飾線條，中間跌級吊頂為發光燈膜，包括所需之材料及一切工序，詳見效果圖；
(量度方法：只計算天花平面面積)</t>
  </si>
  <si>
    <t>D5</t>
  </si>
  <si>
    <t>20層，男女衛生間；</t>
  </si>
  <si>
    <t>D5.1</t>
  </si>
  <si>
    <t>D5.1.1</t>
  </si>
  <si>
    <t>於20層，女廁</t>
  </si>
  <si>
    <t>D5.1.2</t>
  </si>
  <si>
    <t>於20層，男廁</t>
  </si>
  <si>
    <t>D6</t>
  </si>
  <si>
    <t>20層，檔案室1/2、SEVER房</t>
  </si>
  <si>
    <t>D6.1</t>
  </si>
  <si>
    <t>於20層，檔案室1</t>
  </si>
  <si>
    <t>於20層，檔案室2</t>
  </si>
  <si>
    <t>於20層，SEVER房</t>
  </si>
  <si>
    <t>D7</t>
  </si>
  <si>
    <t>22層，員工辦公區及會議室天花工程</t>
  </si>
  <si>
    <t>D7.1</t>
  </si>
  <si>
    <t>於22層，33人辦公區域</t>
  </si>
  <si>
    <t>D7.2</t>
  </si>
  <si>
    <t>於22層，視頻會議室</t>
  </si>
  <si>
    <t>於天花位置，供應及安裝木紋吸音鋁板假天花吊頂（包含乳膠漆），連跌級吊頂及不鏽鋼裝飾線條，中間跌級吊頂為發光燈膜，包括所需之材料及一切工序，詳見效果圖；
(量度方法：只計算天花平面面積)</t>
  </si>
  <si>
    <t>D7.3</t>
  </si>
  <si>
    <t>於22層，24人會議室</t>
  </si>
  <si>
    <t>D7.4</t>
  </si>
  <si>
    <t>D7.4.1</t>
  </si>
  <si>
    <t>於22層，影印房</t>
  </si>
  <si>
    <t>D7.4.2</t>
  </si>
  <si>
    <t>於22層，冷氣機房</t>
  </si>
  <si>
    <t>D7.4.3</t>
  </si>
  <si>
    <t>於22層，檔案室1</t>
  </si>
  <si>
    <t>D7.4.4</t>
  </si>
  <si>
    <t>於22層，保險庫1</t>
  </si>
  <si>
    <t>D7.4.5</t>
  </si>
  <si>
    <t>於22層，檔案室2</t>
  </si>
  <si>
    <t>D7.4.6</t>
  </si>
  <si>
    <t>於22層，檔案室3</t>
  </si>
  <si>
    <t>D7.4.7</t>
  </si>
  <si>
    <t>於22層，檔案室4</t>
  </si>
  <si>
    <t>D7.4.8</t>
  </si>
  <si>
    <t>於22層，收納室</t>
  </si>
  <si>
    <t>D7.4.9</t>
  </si>
  <si>
    <t>於22層，設備室（近24人會議室）</t>
  </si>
  <si>
    <t>D7.4.10</t>
  </si>
  <si>
    <t>於22層，獨立間（2間）</t>
  </si>
  <si>
    <t>D8</t>
  </si>
  <si>
    <t>22層，接待區天花工程</t>
  </si>
  <si>
    <t>D8.1</t>
  </si>
  <si>
    <t>於22層，接待處</t>
  </si>
  <si>
    <t>D8.2</t>
  </si>
  <si>
    <t>於22層，茶水間/圖書室</t>
  </si>
  <si>
    <t>於天花位置，提供及安裝鋁扣板及雙層石膏板假天花吊頂（包含乳膠漆），連跌級吊頂及燈槽，包括所需之材料及一切工序，詳見效果圖；
(量度方法：只計算天花平面面積)</t>
  </si>
  <si>
    <t>D8.3</t>
  </si>
  <si>
    <t>於22層，文化展區、會客廳</t>
  </si>
  <si>
    <t>設計，供應及安裝灰色鋁通格柵假天花系統（1.2mm厚灰色鋁通）
按圖紙及技術規範要求包括但不限於燈槽、石膏天花（含乳膠漆）、灰色鋁通格柵假天花系統、原頂天花噴塗黑色乳膠漆、懸掛糸統、Ø8鍍鋅通絲吊杆、不鏽鋼幹掛構件、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(量度方法：只計算天花平面面積)</t>
  </si>
  <si>
    <t>D9</t>
  </si>
  <si>
    <t>D9.1</t>
  </si>
  <si>
    <t>於22層，總經理</t>
  </si>
  <si>
    <t>D9.2</t>
  </si>
  <si>
    <t>D9.2.1</t>
  </si>
  <si>
    <t>於22層，小會議室</t>
  </si>
  <si>
    <t>D9.2.2</t>
  </si>
  <si>
    <t>於22層，主管辦公室1至5</t>
  </si>
  <si>
    <t>D9.2.3</t>
  </si>
  <si>
    <t>於22層，會議室</t>
  </si>
  <si>
    <t>D9.2.4</t>
  </si>
  <si>
    <t>於22層，總經理室1至2</t>
  </si>
  <si>
    <t>D10</t>
  </si>
  <si>
    <t>22層，走廊天花工程</t>
  </si>
  <si>
    <t>D10.1</t>
  </si>
  <si>
    <t>於22層，走廊</t>
  </si>
  <si>
    <t>D11</t>
  </si>
  <si>
    <t>22層，男女衛生間；</t>
  </si>
  <si>
    <t>D11.1</t>
  </si>
  <si>
    <t>D11.1.1</t>
  </si>
  <si>
    <t>於22層，女廁</t>
  </si>
  <si>
    <t>D11.1.2</t>
  </si>
  <si>
    <t>於22層，男廁</t>
  </si>
  <si>
    <r>
      <rPr>
        <b/>
        <sz val="10"/>
        <rFont val="微軟正黑體"/>
        <family val="2"/>
      </rPr>
      <t xml:space="preserve">第四章  </t>
    </r>
    <r>
      <rPr>
        <u/>
        <sz val="10"/>
        <rFont val="微軟正黑體"/>
        <family val="2"/>
      </rPr>
      <t> </t>
    </r>
    <r>
      <rPr>
        <b/>
        <u/>
        <sz val="10"/>
        <rFont val="微軟正黑體"/>
        <family val="2"/>
      </rPr>
      <t>天花項目</t>
    </r>
    <r>
      <rPr>
        <b/>
        <sz val="10"/>
        <rFont val="微軟正黑體"/>
        <family val="2"/>
      </rPr>
      <t xml:space="preserve"> 合計金額: (澳門幣)</t>
    </r>
  </si>
  <si>
    <t>工程計劃</t>
  </si>
  <si>
    <t>中國人壽保險有限公司辦公室裝修工程</t>
  </si>
  <si>
    <t>工程名稱：中國人壽保險有限公司辦公室裝修工程</t>
  </si>
  <si>
    <t>E.  第五章  裝修部份</t>
  </si>
  <si>
    <t>關於本 '第五章 - 裝修部份',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</si>
  <si>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t>地面工程</t>
  </si>
  <si>
    <t>E1</t>
  </si>
  <si>
    <t>20層，內部辦公區地面工程</t>
  </si>
  <si>
    <t>E1.1</t>
  </si>
  <si>
    <t>設計，供應及安裝方塊地毯，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</si>
  <si>
    <t>E1.3</t>
  </si>
  <si>
    <t>E1.4</t>
  </si>
  <si>
    <t>設計、供應及安裝以下瓷磚於樓地面：按圖紙及技術規範要求(或認可之同級材料)，做50mm厚水泥砂漿地臺找平層，使用專用瓷磚粘貼劑鋪貼瓷磚(防滑系數需達R9或以上)，並預留1.5mm接口位置使用填縫劑封口，包括但不限於底層材料、批蕩、水泥砌漿、瓷磚粘結劑等所需的一切工序</t>
  </si>
  <si>
    <t>E1.5</t>
  </si>
  <si>
    <t>E1.6</t>
  </si>
  <si>
    <t>E1.7</t>
  </si>
  <si>
    <t>E1.7.1</t>
  </si>
  <si>
    <t>E1.7.2</t>
  </si>
  <si>
    <t>E1.7.3</t>
  </si>
  <si>
    <t>E2</t>
  </si>
  <si>
    <t>20層，會所VIP地面工程</t>
  </si>
  <si>
    <t>E2.1</t>
  </si>
  <si>
    <t>E2.2</t>
  </si>
  <si>
    <r>
      <t>設計、供應及安裝以下</t>
    </r>
    <r>
      <rPr>
        <b/>
        <sz val="10"/>
        <rFont val="微軟正黑體"/>
        <family val="2"/>
      </rPr>
      <t>水磨石</t>
    </r>
    <r>
      <rPr>
        <sz val="10"/>
        <rFont val="微軟正黑體"/>
        <family val="2"/>
      </rPr>
      <t>於樓地面：按圖紙及技術規範要求(或認可之同級材料)，做50mm厚水泥砂漿地臺找平層，使用專用粘貼劑鋪貼</t>
    </r>
    <r>
      <rPr>
        <b/>
        <sz val="10"/>
        <rFont val="微軟正黑體"/>
        <family val="2"/>
      </rPr>
      <t>水磨石</t>
    </r>
    <r>
      <rPr>
        <sz val="10"/>
        <rFont val="微軟正黑體"/>
        <family val="2"/>
      </rPr>
      <t>，使用石材填縫劑封口，包括但不限於底層材料、批蕩、水泥砌漿、粘結劑等所需的一切工序</t>
    </r>
  </si>
  <si>
    <t>E3</t>
  </si>
  <si>
    <t>20層，大型會議室地面工程</t>
  </si>
  <si>
    <t>E3.1</t>
  </si>
  <si>
    <t>於20層，收納間/音控收納</t>
  </si>
  <si>
    <t>設計、供應及安裝以下防靜電升高地台；按圖紙及技術規範要求(或認可之同級材料)，包括但不限於清潔地面基底至無塵光潔狀態，按機櫃位置設計排鋪，安裝支座及邊框，調整支架高度，固定支架橫梁後安裝活動地板，需包括所有配件等所需的一切工序</t>
  </si>
  <si>
    <t>於20層，冷氣機房</t>
  </si>
  <si>
    <t>E3.2</t>
  </si>
  <si>
    <t>E4</t>
  </si>
  <si>
    <t>20層，代理人辦公區及接待區地面工程</t>
  </si>
  <si>
    <t>E4.1</t>
  </si>
  <si>
    <t>E4.1.1</t>
  </si>
  <si>
    <t>E4.1.2</t>
  </si>
  <si>
    <t>E4.1.3</t>
  </si>
  <si>
    <t>E4.1.4</t>
  </si>
  <si>
    <t>E4.1.5</t>
  </si>
  <si>
    <t>E4.1.6</t>
  </si>
  <si>
    <t>E4.1.7</t>
  </si>
  <si>
    <t>E4.1.8</t>
  </si>
  <si>
    <t>E4.1.9</t>
  </si>
  <si>
    <t>E4.1.10</t>
  </si>
  <si>
    <t>E4.1.11</t>
  </si>
  <si>
    <t>E4.2</t>
  </si>
  <si>
    <t>E4.3</t>
  </si>
  <si>
    <t>E4.4</t>
  </si>
  <si>
    <t>E5</t>
  </si>
  <si>
    <r>
      <t>設計、供應及安裝</t>
    </r>
    <r>
      <rPr>
        <b/>
        <sz val="10"/>
        <rFont val="微軟正黑體"/>
        <family val="2"/>
      </rPr>
      <t>魚肚灰石材</t>
    </r>
    <r>
      <rPr>
        <sz val="10"/>
        <rFont val="微軟正黑體"/>
        <family val="2"/>
      </rPr>
      <t>於樓地面：按圖紙及技術規範要求(或認可之同級材料)，做50mm厚水泥砂漿地臺找平層，使用專用粘貼劑鋪貼</t>
    </r>
    <r>
      <rPr>
        <b/>
        <sz val="10"/>
        <rFont val="微軟正黑體"/>
        <family val="2"/>
      </rPr>
      <t>石材</t>
    </r>
    <r>
      <rPr>
        <sz val="10"/>
        <rFont val="微軟正黑體"/>
        <family val="2"/>
      </rPr>
      <t>，使用石材填縫劑封口，包括但不限於底層材料、批蕩、水泥砌漿、粘結劑等所需的一切工序</t>
    </r>
  </si>
  <si>
    <t>E5.1</t>
  </si>
  <si>
    <t>E5.2</t>
  </si>
  <si>
    <t>E6</t>
  </si>
  <si>
    <t>E6.1</t>
  </si>
  <si>
    <t>E6.2</t>
  </si>
  <si>
    <t>E6.3</t>
  </si>
  <si>
    <t>E7</t>
  </si>
  <si>
    <t>22層，員工辦公區及會議室地面工程</t>
  </si>
  <si>
    <t>E7.1</t>
  </si>
  <si>
    <t>E7.2</t>
  </si>
  <si>
    <t>E7.3</t>
  </si>
  <si>
    <t>E7.4</t>
  </si>
  <si>
    <t>E7.4.1</t>
  </si>
  <si>
    <t>E7.4.2</t>
  </si>
  <si>
    <t>E7.4.3</t>
  </si>
  <si>
    <t>E7.4.4</t>
  </si>
  <si>
    <t>E7.4.5</t>
  </si>
  <si>
    <t>E7.4.6</t>
  </si>
  <si>
    <t>E7.4.7</t>
  </si>
  <si>
    <t>E7.4.8</t>
  </si>
  <si>
    <t>E7.4.9</t>
  </si>
  <si>
    <t>E7.5</t>
  </si>
  <si>
    <t>E8</t>
  </si>
  <si>
    <t>22層，接待區地面工程</t>
  </si>
  <si>
    <t>E8.1</t>
  </si>
  <si>
    <t>E8.2</t>
  </si>
  <si>
    <t>E8.3</t>
  </si>
  <si>
    <t>設計，供應及安裝羊毛地毯，按圖紙及技術規範要求(或認可之同級材料)，清潔地面基底，水泥砂漿找平，倒5mm厚自流平，待自流平完全乾固後使用打磨機進行精細找平處理，於自流平上塗刷水性界面劑，使用專用膠水鋪貼羊毛地毯，並按生産商之規範及要求施工，（詳見效果圖）</t>
  </si>
  <si>
    <t>E9</t>
  </si>
  <si>
    <t>E9.1</t>
  </si>
  <si>
    <t>E9.2</t>
  </si>
  <si>
    <t>E9.2.1</t>
  </si>
  <si>
    <t>E9.2.2</t>
  </si>
  <si>
    <t>E9.2.3</t>
  </si>
  <si>
    <t>E9.3</t>
  </si>
  <si>
    <t>設計，供應及安裝木地板，按圖紙及技術規範要求(或認可之同級材料)，清潔地面基底，水泥砂漿找平，倒5mm厚自流平，待自流平完全乾固後使用打磨機進行精細找平處理，於自流平上塗刷水性界面劑，使用專用膠水鋪貼木地板，並按生産商之規範及要求施工，（詳見效果圖）</t>
  </si>
  <si>
    <t>E10</t>
  </si>
  <si>
    <t>22層，走廊地面工程</t>
  </si>
  <si>
    <t>E10.1</t>
  </si>
  <si>
    <t>E11</t>
  </si>
  <si>
    <t>22層，男女衛生間地面工程；</t>
  </si>
  <si>
    <t>E11.1</t>
  </si>
  <si>
    <t>E11.1.1</t>
  </si>
  <si>
    <t>E11.1.2</t>
  </si>
  <si>
    <t>E12</t>
  </si>
  <si>
    <t>設計、供應及安裝以下大理石，按圖紙及技術規範要求(或認可之同級材料)，包括但不限於切口、修口、收邊，需包括所有配件等所需的一切工序</t>
  </si>
  <si>
    <t>E12.1</t>
  </si>
  <si>
    <t>於20層門檻石</t>
  </si>
  <si>
    <t>米</t>
  </si>
  <si>
    <t>E12.2</t>
  </si>
  <si>
    <t>於22層門檻石</t>
  </si>
  <si>
    <t>E13</t>
  </si>
  <si>
    <t>供應及安裝防水，於地台及牆身塗刷1.5mm厚防水層至1500mm高水泥基層防水塗膜，密封膠封口，包括所需之輔料及一切工序。</t>
  </si>
  <si>
    <t>E13.1</t>
  </si>
  <si>
    <t>於20層衛生間</t>
  </si>
  <si>
    <t>E13.2</t>
  </si>
  <si>
    <t>於22層衛生間</t>
  </si>
  <si>
    <t>墻面工程</t>
  </si>
  <si>
    <t>E14</t>
  </si>
  <si>
    <t>20層，內部辦公區墻身工程</t>
  </si>
  <si>
    <t>E14.1</t>
  </si>
  <si>
    <t>E14.1.1</t>
  </si>
  <si>
    <t>E14.1.2</t>
  </si>
  <si>
    <t>E14.1.3</t>
  </si>
  <si>
    <t>E14.1.4</t>
  </si>
  <si>
    <t>E14.1.5</t>
  </si>
  <si>
    <t>E14.1.6</t>
  </si>
  <si>
    <t>E14.1.7</t>
  </si>
  <si>
    <t>E14.1.8</t>
  </si>
  <si>
    <t>E14.1.9</t>
  </si>
  <si>
    <t>E14.1.10</t>
  </si>
  <si>
    <t>E14.2</t>
  </si>
  <si>
    <t>E14.2.1</t>
  </si>
  <si>
    <r>
      <t>設計，供應及安裝墻身</t>
    </r>
    <r>
      <rPr>
        <b/>
        <sz val="10"/>
        <rFont val="微軟正黑體"/>
        <family val="2"/>
      </rPr>
      <t>木飾面</t>
    </r>
    <r>
      <rPr>
        <sz val="10"/>
        <rFont val="微軟正黑體"/>
        <family val="2"/>
      </rPr>
      <t xml:space="preserve">
按圖紙及技術規範要求包括但不限於墻身鍍鋅鋼骨架、切口、修口、收邊等所需的一切材料及工序
(量度方法：只計算墻身平面面積)</t>
    </r>
  </si>
  <si>
    <t>E14.2.2</t>
  </si>
  <si>
    <t>設計，供應及安裝不鏽鋼踢腳線
按圖紙及技術規範要求包括但不限於木基層、切口、修口、收邊等所需的一切材料及工序</t>
  </si>
  <si>
    <t>E14.3</t>
  </si>
  <si>
    <t>於20層，36人辦公區（主管辦公室，4間隔間）</t>
  </si>
  <si>
    <t>E14.3.1</t>
  </si>
  <si>
    <r>
      <t>設計，供應及安裝墻身</t>
    </r>
    <r>
      <rPr>
        <b/>
        <sz val="10"/>
        <rFont val="微軟正黑體"/>
        <family val="2"/>
      </rPr>
      <t>墻布</t>
    </r>
    <r>
      <rPr>
        <sz val="10"/>
        <rFont val="微軟正黑體"/>
        <family val="2"/>
      </rPr>
      <t>；
按圖紙及技術規範要求包括但不限於墻身基層膩子找平、墻紙基膜、切口、修口、收邊等所需的一切材料及工序
(量度方法：只計算墻身平面面積)</t>
    </r>
  </si>
  <si>
    <t>E14.3.2</t>
  </si>
  <si>
    <t>E14.4</t>
  </si>
  <si>
    <t>於20層，36人辦公區（總經理辦公室，2間隔間）</t>
  </si>
  <si>
    <t>E14.4.1</t>
  </si>
  <si>
    <r>
      <t>設計，供應及安裝墻身系統（</t>
    </r>
    <r>
      <rPr>
        <b/>
        <sz val="10"/>
        <rFont val="微軟正黑體"/>
        <family val="2"/>
      </rPr>
      <t>墻布</t>
    </r>
    <r>
      <rPr>
        <sz val="10"/>
        <rFont val="微軟正黑體"/>
        <family val="2"/>
      </rPr>
      <t>）
按圖紙及技術規範要求包括但不限於墻身基層膩子找平、墻紙基膜、切口、修口、收邊等所需的一切材料及工序（詳見效果圖）
(量度方法：只計算墻身平面面積)</t>
    </r>
  </si>
  <si>
    <t>E14.4.2</t>
  </si>
  <si>
    <t>E14.5</t>
  </si>
  <si>
    <t>E14.5.1</t>
  </si>
  <si>
    <t>E14.5.2</t>
  </si>
  <si>
    <t>E14.5.3</t>
  </si>
  <si>
    <t>E14.5.4</t>
  </si>
  <si>
    <t>E14.5.5</t>
  </si>
  <si>
    <t>E14.5.6</t>
  </si>
  <si>
    <t>E14.5.7</t>
  </si>
  <si>
    <t>E14.5.8</t>
  </si>
  <si>
    <t>E14.6</t>
  </si>
  <si>
    <t>設計、供應及安裝牆身瓷磚飾面，按技術規範要求及材料表(或認可之同級材料)，包括但不限於底層材料、批蕩、水泥砌漿等所需的一切工序，進行必要深化，並提交必要效果圖、施工圖等進行審核；</t>
  </si>
  <si>
    <t>E14.7</t>
  </si>
  <si>
    <t>於20層，獨立間（2間）</t>
  </si>
  <si>
    <t>E15</t>
  </si>
  <si>
    <t>20層，會所VIP墻身工程</t>
  </si>
  <si>
    <t>E15.1</t>
  </si>
  <si>
    <t>E15.1.1</t>
  </si>
  <si>
    <t>設計，供應及安裝墻身系統（木飾面、金屬分隔條、亞克力反光燈槽）
按圖紙及技術規範要求包括但不限於墻身基層龍骨調平、阻燃夾板、切口、修口、收邊等所需的一切材料及工序（詳見效果圖）
(量度方法：只計算墻身平面面積)</t>
  </si>
  <si>
    <t>E15.1.2</t>
  </si>
  <si>
    <t>E15.2</t>
  </si>
  <si>
    <t>E15.2.1</t>
  </si>
  <si>
    <t>E15.2.2</t>
  </si>
  <si>
    <t>E15.2.3</t>
  </si>
  <si>
    <t>E15.2.4</t>
  </si>
  <si>
    <t>E15.2.5</t>
  </si>
  <si>
    <t>E15.2.6</t>
  </si>
  <si>
    <t>E15.2.7</t>
  </si>
  <si>
    <t>E15.2.8</t>
  </si>
  <si>
    <t>E15.2.9</t>
  </si>
  <si>
    <t>E15.2.10</t>
  </si>
  <si>
    <t>E16</t>
  </si>
  <si>
    <t>20層，大型會議室墻身工程</t>
  </si>
  <si>
    <t>E16.1</t>
  </si>
  <si>
    <t>E16.2</t>
  </si>
  <si>
    <t>E16.2.1</t>
  </si>
  <si>
    <t>E16.2.2</t>
  </si>
  <si>
    <t>E16.2.3</t>
  </si>
  <si>
    <t>E16.2.4</t>
  </si>
  <si>
    <t>E16.2.5</t>
  </si>
  <si>
    <t>E16.2.6</t>
  </si>
  <si>
    <t>E16.2.7</t>
  </si>
  <si>
    <t>E16.2.8</t>
  </si>
  <si>
    <t>E16.2.9</t>
  </si>
  <si>
    <t>E16.2.10</t>
  </si>
  <si>
    <t>E17</t>
  </si>
  <si>
    <t>20層，代理人辦公區及接待區墻身工程</t>
  </si>
  <si>
    <t>E17.1</t>
  </si>
  <si>
    <t>E17.1.1</t>
  </si>
  <si>
    <t>E17.1.2</t>
  </si>
  <si>
    <t>E17.1.3</t>
  </si>
  <si>
    <t>E17.1.4</t>
  </si>
  <si>
    <t>E17.1.5</t>
  </si>
  <si>
    <t>E17.1.6</t>
  </si>
  <si>
    <t>E17.1.7</t>
  </si>
  <si>
    <t>E17.1.8</t>
  </si>
  <si>
    <t>E17.1.9</t>
  </si>
  <si>
    <t>E17.1.10</t>
  </si>
  <si>
    <t>E17.1.11</t>
  </si>
  <si>
    <t>E17.2</t>
  </si>
  <si>
    <t>E17.2.1</t>
  </si>
  <si>
    <t>E17.2.2</t>
  </si>
  <si>
    <t>E17.2.3</t>
  </si>
  <si>
    <t>E17.2.4</t>
  </si>
  <si>
    <t>E17.2.5</t>
  </si>
  <si>
    <t>E17.2.6</t>
  </si>
  <si>
    <t>E17.2.7</t>
  </si>
  <si>
    <t>E17.2.8</t>
  </si>
  <si>
    <t>E17.2.9</t>
  </si>
  <si>
    <t>E17.2.10</t>
  </si>
  <si>
    <t>E17.2.11</t>
  </si>
  <si>
    <t>E17.3</t>
  </si>
  <si>
    <t>E17.4</t>
  </si>
  <si>
    <t>於20層，代理辦公區</t>
  </si>
  <si>
    <t>E17.4.1</t>
  </si>
  <si>
    <t>E17.4.2</t>
  </si>
  <si>
    <t>E17.4.3</t>
  </si>
  <si>
    <t>E17.4.4</t>
  </si>
  <si>
    <t>E17.4.5</t>
  </si>
  <si>
    <t>E17.4.6</t>
  </si>
  <si>
    <t>E17.4.7</t>
  </si>
  <si>
    <t>E17.4.8</t>
  </si>
  <si>
    <t>E17.5</t>
  </si>
  <si>
    <t>E17.5.1</t>
  </si>
  <si>
    <t>E17.5.2</t>
  </si>
  <si>
    <t>E17.5.3</t>
  </si>
  <si>
    <t>E17.5.4</t>
  </si>
  <si>
    <t>E17.5.5</t>
  </si>
  <si>
    <t>E17.5.6</t>
  </si>
  <si>
    <t>E18</t>
  </si>
  <si>
    <t>E18.1</t>
  </si>
  <si>
    <t>E18.1.1</t>
  </si>
  <si>
    <t>E18.1.2</t>
  </si>
  <si>
    <t>E19</t>
  </si>
  <si>
    <t>E19.1</t>
  </si>
  <si>
    <t>E19.1.1</t>
  </si>
  <si>
    <t>E19.1.2</t>
  </si>
  <si>
    <t>E19.1.3</t>
  </si>
  <si>
    <t>E20</t>
  </si>
  <si>
    <t>22層，員工辦公區及會議室墻面工程</t>
  </si>
  <si>
    <t>E20.1</t>
  </si>
  <si>
    <t>E20.1.1</t>
  </si>
  <si>
    <t>E20.1.2</t>
  </si>
  <si>
    <t>E20.1.3</t>
  </si>
  <si>
    <t>E20.1.4</t>
  </si>
  <si>
    <t>E20.1.5</t>
  </si>
  <si>
    <t>E20.1.6</t>
  </si>
  <si>
    <t>E20.1.7</t>
  </si>
  <si>
    <t>E20.1.8</t>
  </si>
  <si>
    <t>E20.1.9</t>
  </si>
  <si>
    <t>設計，供應及安裝墻身系統柱子（艺术玻璃）
按圖紙及技術規範要求包括但不限於墻身基層、鍍鋅方鋼、L50型鍍鋅角鋼、膨脹螺絲、輕鋼龍骨、輕鋼龍骨調頻件、C50糸列輕鋼覆面龍骨、50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(量度方法：只計算墻身平面面積)</t>
  </si>
  <si>
    <t>E20.1.10</t>
  </si>
  <si>
    <t>設計，供應及安裝墻身系統柱子立面（不鏽鋼踢腳線）
按圖紙及技術規範要求包括但不限於木基層、切口、修口、收邊等所需的一切材料及工序</t>
  </si>
  <si>
    <t>E20.2</t>
  </si>
  <si>
    <t>E20.2.1</t>
  </si>
  <si>
    <t>E20.2.2</t>
  </si>
  <si>
    <t>設計，供應及安裝墻身系統（不鏽鋼踢腳線）
按圖紙及技術規範要求包括但不限於木基層、切口、修口、收邊等所需的一切材料及工序</t>
  </si>
  <si>
    <t>E20.3</t>
  </si>
  <si>
    <t>E20.3.1</t>
  </si>
  <si>
    <r>
      <t>設計，供應及安裝墻身系統（</t>
    </r>
    <r>
      <rPr>
        <b/>
        <sz val="10"/>
        <rFont val="微軟正黑體"/>
        <family val="2"/>
      </rPr>
      <t>木飾面</t>
    </r>
    <r>
      <rPr>
        <sz val="10"/>
        <rFont val="微軟正黑體"/>
        <family val="2"/>
      </rPr>
      <t>、不锈钢收口条）
按圖紙及技術規範要求包括但不限於墻身基層、鍍鋅方鋼、L50型鍍鋅角鋼、膨脹螺絲、輕鋼龍骨、輕鋼龍骨調頻件、C50糸列輕鋼覆面龍骨、50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(量度方法：只計算墻身平面面積)</t>
    </r>
  </si>
  <si>
    <t>E20.3.2</t>
  </si>
  <si>
    <t>E20.4</t>
  </si>
  <si>
    <t>E20.4.1</t>
  </si>
  <si>
    <t>E20.4.2</t>
  </si>
  <si>
    <t>E20.4.3</t>
  </si>
  <si>
    <t>E20.4.4</t>
  </si>
  <si>
    <t>E20.4.5</t>
  </si>
  <si>
    <t>E20.4.6</t>
  </si>
  <si>
    <t>E20.4.7</t>
  </si>
  <si>
    <t>E20.4.8</t>
  </si>
  <si>
    <t>E20.4.9</t>
  </si>
  <si>
    <t>於22層，设备室（近24人会议室））</t>
  </si>
  <si>
    <t>E20.4.10</t>
  </si>
  <si>
    <t>於22層，独立间2个</t>
  </si>
  <si>
    <t>E21</t>
  </si>
  <si>
    <t>22層，接待區墻面工程</t>
  </si>
  <si>
    <t>E21.1</t>
  </si>
  <si>
    <t>E21.1.1</t>
  </si>
  <si>
    <r>
      <t>設計，供應及安裝墻身系統</t>
    </r>
    <r>
      <rPr>
        <b/>
        <sz val="10"/>
        <rFont val="微軟正黑體"/>
        <family val="2"/>
      </rPr>
      <t>（天鵝絨藝術漆）</t>
    </r>
    <r>
      <rPr>
        <sz val="10"/>
        <rFont val="微軟正黑體"/>
        <family val="2"/>
      </rPr>
      <t xml:space="preserve">
按圖紙及技術規範要求包括但不限於墻身基層膩子找平、藝術漆等所需的一切材料及工序（詳見效果圖）
(量度方法：只計算墻身平面面積)</t>
    </r>
  </si>
  <si>
    <t>E21.1.2</t>
  </si>
  <si>
    <t>E21.2</t>
  </si>
  <si>
    <t>E21.3</t>
  </si>
  <si>
    <t>E21.3.1</t>
  </si>
  <si>
    <t>E21.3.2</t>
  </si>
  <si>
    <t>E21.3.3</t>
  </si>
  <si>
    <t>E21.3.4</t>
  </si>
  <si>
    <t>設計，供應及安裝墻身系統（石材踢脚线）
按圖紙及技術規範要求包括但不限於木基層、切口、修口、收邊等所需的一切材料及工序</t>
  </si>
  <si>
    <t>E22</t>
  </si>
  <si>
    <t>22層，主管及領導辦公區</t>
  </si>
  <si>
    <t>E22.1</t>
  </si>
  <si>
    <t>E22.1.1</t>
  </si>
  <si>
    <t>E22.1.2</t>
  </si>
  <si>
    <t>E22.1.3</t>
  </si>
  <si>
    <t>E22.1.4</t>
  </si>
  <si>
    <t>設計，供應及安裝墻身系統（不锈钢踢脚线）
按圖紙及技術規範要求包括但不限於木基層、切口、修口、收邊等所需的一切材料及工序</t>
  </si>
  <si>
    <t>E22.2</t>
  </si>
  <si>
    <t>E22.2.1</t>
  </si>
  <si>
    <t>E22.2.2</t>
  </si>
  <si>
    <t>E22.2.3</t>
  </si>
  <si>
    <t>E22.2.4</t>
  </si>
  <si>
    <t>E22.3</t>
  </si>
  <si>
    <t>E22.3.1</t>
  </si>
  <si>
    <t>E22.3.2</t>
  </si>
  <si>
    <t>E22.3.3</t>
  </si>
  <si>
    <t>E22.3.4</t>
  </si>
  <si>
    <t>E23</t>
  </si>
  <si>
    <t>22層，走廊墻面工程</t>
  </si>
  <si>
    <t>E23.1</t>
  </si>
  <si>
    <t>E23.1.1</t>
  </si>
  <si>
    <t>E23.1.2</t>
  </si>
  <si>
    <t>E23.1.3</t>
  </si>
  <si>
    <t>E23.1.4</t>
  </si>
  <si>
    <t>E24</t>
  </si>
  <si>
    <t>E24.1</t>
  </si>
  <si>
    <t>E24.1.1</t>
  </si>
  <si>
    <t>E24.1.2</t>
  </si>
  <si>
    <t>E25</t>
  </si>
  <si>
    <t>潔具</t>
  </si>
  <si>
    <t>E25.1</t>
  </si>
  <si>
    <t>E25.1.1</t>
  </si>
  <si>
    <t>個</t>
  </si>
  <si>
    <t>E25.1.2</t>
  </si>
  <si>
    <t>E25.1.3</t>
  </si>
  <si>
    <t>面盆。</t>
  </si>
  <si>
    <t>E25.1.4</t>
  </si>
  <si>
    <t>面盆龍頭。</t>
  </si>
  <si>
    <t>E25.1.5</t>
  </si>
  <si>
    <t>紙巾架。</t>
  </si>
  <si>
    <t>E25.1.6</t>
  </si>
  <si>
    <t>掛鉤</t>
  </si>
  <si>
    <t>E25.1.7</t>
  </si>
  <si>
    <t>烘手機</t>
  </si>
  <si>
    <t>E25.1.8</t>
  </si>
  <si>
    <t>皂液機</t>
  </si>
  <si>
    <t>E25.1.9</t>
  </si>
  <si>
    <t>小便隔板</t>
  </si>
  <si>
    <t>E25.1.10</t>
  </si>
  <si>
    <t>座廁間格</t>
  </si>
  <si>
    <t>E25.1.11</t>
  </si>
  <si>
    <t>地漏</t>
  </si>
  <si>
    <t>E25.1.12</t>
  </si>
  <si>
    <t>拖把洗滌槽。</t>
  </si>
  <si>
    <t>E25.1.13</t>
  </si>
  <si>
    <t>拖把洗滌槽龍頭。</t>
  </si>
  <si>
    <t>E25.1.14</t>
  </si>
  <si>
    <t>鏡箱。</t>
  </si>
  <si>
    <t>E25.1.15</t>
  </si>
  <si>
    <t>鋅盆。</t>
  </si>
  <si>
    <t>E25.1.16</t>
  </si>
  <si>
    <t>鋅盆龍頭。</t>
  </si>
  <si>
    <t>E25.2</t>
  </si>
  <si>
    <t>E25.2.1</t>
  </si>
  <si>
    <t>E25.2.2</t>
  </si>
  <si>
    <t>E25.2.3</t>
  </si>
  <si>
    <t>E25.2.4</t>
  </si>
  <si>
    <t>E25.2.5</t>
  </si>
  <si>
    <t>E25.2.6</t>
  </si>
  <si>
    <t>E25.2.7</t>
  </si>
  <si>
    <t>E25.2.8</t>
  </si>
  <si>
    <t>E25.2.9</t>
  </si>
  <si>
    <t>E25.2.10</t>
  </si>
  <si>
    <t>E25.2.11</t>
  </si>
  <si>
    <t>E25.2.12</t>
  </si>
  <si>
    <t>E25.2.13</t>
  </si>
  <si>
    <t>E25.2.14</t>
  </si>
  <si>
    <t>E25.2.15</t>
  </si>
  <si>
    <t>E25.2.16</t>
  </si>
  <si>
    <t>固定家具工程</t>
  </si>
  <si>
    <t>E26</t>
  </si>
  <si>
    <t>20層，固定家具工程</t>
  </si>
  <si>
    <t>E26.1</t>
  </si>
  <si>
    <t>E26.1.1</t>
  </si>
  <si>
    <t>設計、供應及安裝木飾面櫃（10800*2600mm)
木飾面、五金配件等一切有關收口、所需材料及工序。</t>
  </si>
  <si>
    <t>E26.1.2</t>
  </si>
  <si>
    <t>設計、供應及安裝木飾面櫃（3600*2600mm)
木飾面、五金配件等一切有關收口、所需材料及工序。</t>
  </si>
  <si>
    <t>E26.1.3</t>
  </si>
  <si>
    <t>設計、供應及安裝木飾面櫃（3000*2600mm)
木飾面、五金配件等一切有關收口、所需材料及工序。</t>
  </si>
  <si>
    <t>E26.1.4</t>
  </si>
  <si>
    <t>設計、供應及安裝木飾面櫃（1600*2600mm)
木飾面、五金配件等一切有關收口、所需材料及工序。</t>
  </si>
  <si>
    <t>E26.1.5</t>
  </si>
  <si>
    <t>設計、供應及安裝木飾面收納櫃（1200*2600mm)
木飾面、五金配件等一切有關收口、所需材料及工序。</t>
  </si>
  <si>
    <t>E26.2</t>
  </si>
  <si>
    <t>E26.2.1</t>
  </si>
  <si>
    <t>設計、供應及安裝木飾面櫃（4200*2600mm)
木飾面、五金配件等一切有關收口、所需材料及工序。</t>
  </si>
  <si>
    <t>E26.2.2</t>
  </si>
  <si>
    <t>設計、供應及安裝木飾面電視櫃（4400*2600mm)
木飾面、五金配件等一切有關收口、所需材料及工序。</t>
  </si>
  <si>
    <t>E26.3</t>
  </si>
  <si>
    <t>E26.3.1</t>
  </si>
  <si>
    <t>設計、供應及安裝木飾面櫃（4790*2600mm)
木飾面、五金配件等一切有關收口、所需材料及工序。</t>
  </si>
  <si>
    <t>E26.3.2</t>
  </si>
  <si>
    <t>設計、供應及安裝櫥櫃及吊櫃（長度1790mm)
木飾面、五金配件等一切有關收口、所需材料及工序。</t>
  </si>
  <si>
    <t>組</t>
  </si>
  <si>
    <t>E26.4</t>
  </si>
  <si>
    <t>於20層，檔案室5</t>
  </si>
  <si>
    <t>E26.4.1</t>
  </si>
  <si>
    <t>設計、供應及安裝木飾面櫃（2400*2600mm)
木飾面、五金配件等一切有關收口、所需材料及工序。</t>
  </si>
  <si>
    <t>E26.5</t>
  </si>
  <si>
    <t>設計、供應及安裝木飾面櫃
木飾面、五金配件等一切有關收口、所需材料及工序。</t>
  </si>
  <si>
    <t>E26.5.1</t>
  </si>
  <si>
    <t>於20層，主管辦公室（3間）,木飾面櫃（4750*2600mm)</t>
  </si>
  <si>
    <t>E26.5.2</t>
  </si>
  <si>
    <t>於20層，主管辦公室（1間）,木飾面櫃（3800*2600mm)</t>
  </si>
  <si>
    <t>E26.5.3</t>
  </si>
  <si>
    <t>於20層，主管辦公室（1間）,木飾面櫃（850*2600mm)</t>
  </si>
  <si>
    <t>E26.5.4</t>
  </si>
  <si>
    <t>於20層，總經理辦公室（2間）,木飾面櫃（3800*2600mm)</t>
  </si>
  <si>
    <t>E26.5.5</t>
  </si>
  <si>
    <t>於20層，總經理辦公室（2間）,木飾面櫃（1500*2600mm)</t>
  </si>
  <si>
    <t>E27</t>
  </si>
  <si>
    <t>20層，會所VIP固定家具工程</t>
  </si>
  <si>
    <t>E27.1</t>
  </si>
  <si>
    <t>E27.1.1</t>
  </si>
  <si>
    <t>設計、供應及安裝接待櫃連檯下櫃(弧形），需提供連同周邊環境一起設計的效果圖、材料及深化詳圖進行審批，須預留位置、正面及側面石材、格柵不鏽鋼等，其他五金配件等一切有關收口、所需材料及工序。</t>
  </si>
  <si>
    <t>E28</t>
  </si>
  <si>
    <t>20層，大型會議室固定家具工程</t>
  </si>
  <si>
    <t>E28.1</t>
  </si>
  <si>
    <t>於20層，音控收納/冷氣機房</t>
  </si>
  <si>
    <t>E28.1.1</t>
  </si>
  <si>
    <t>設計、供應及安裝木飾面櫃（1800*2600mm)
木飾面、五金配件等一切有關收口、所需材料及工序。</t>
  </si>
  <si>
    <t>E29</t>
  </si>
  <si>
    <t>20層，代理人辦公區及接待區固定家具工程</t>
  </si>
  <si>
    <t>E29.1</t>
  </si>
  <si>
    <t>E29.1.1</t>
  </si>
  <si>
    <t>於20層，洽談室1;木飾面櫃（3000*2600mm)</t>
  </si>
  <si>
    <t>E29.1.2</t>
  </si>
  <si>
    <t>於20層，洽談室2;木飾面櫃（3000*2600mm)</t>
  </si>
  <si>
    <t>E29.1.3</t>
  </si>
  <si>
    <t>於20層，接待處;木飾面櫃（1500+6000)*2600mm</t>
  </si>
  <si>
    <t>E29.1.4</t>
  </si>
  <si>
    <t>於20層，主管辦公室;木飾面櫃（3000*2600mm)</t>
  </si>
  <si>
    <t>E29.1.5</t>
  </si>
  <si>
    <t>於20層，6人辦公區;木飾面櫃（6000*2600mm)</t>
  </si>
  <si>
    <t>E29.1.6</t>
  </si>
  <si>
    <t>於20層，6人辦公區;木飾面櫃（2400+3600)*2600mm</t>
  </si>
  <si>
    <t>E29.1.7</t>
  </si>
  <si>
    <t>於20層，洽談室3;木飾面櫃（3500*2600mm)</t>
  </si>
  <si>
    <t>E29.1.8</t>
  </si>
  <si>
    <t>於20層，洽談室4;木飾面櫃（3000*2600mm)</t>
  </si>
  <si>
    <t>E29.1.9</t>
  </si>
  <si>
    <t>於20層，6人辦公區;木飾面櫃（3000*2600mm)</t>
  </si>
  <si>
    <t>E29.1.10</t>
  </si>
  <si>
    <t>於20層，主管辦公室;木飾面櫃（3500*2600mm)</t>
  </si>
  <si>
    <t>E29.2</t>
  </si>
  <si>
    <t>設計、供應及安裝櫥櫃及吊櫃（長度2400+1850mm)
木飾面、五金配件等一切有關收口、所需材料及工序。</t>
  </si>
  <si>
    <t>E29.2.1</t>
  </si>
  <si>
    <t>E29.3</t>
  </si>
  <si>
    <t>E29.3.1</t>
  </si>
  <si>
    <t>E29.3.2</t>
  </si>
  <si>
    <t>設計、供應及安裝木飾面櫃（6600*2600mm)
木飾面、五金配件等一切有關收口、所需材料及工序。</t>
  </si>
  <si>
    <t>設計、供應及安裝木飾面櫃（6900*2600mm)
木飾面、五金配件等一切有關收口、所需材料及工序。</t>
  </si>
  <si>
    <t>E29.4</t>
  </si>
  <si>
    <t>E29.4.1</t>
  </si>
  <si>
    <t>設計、供應及安裝木飾面櫃（6540*2600mm)
木飾面、五金配件等一切有關收口、所需材料及工序。</t>
  </si>
  <si>
    <t>E29.4.2</t>
  </si>
  <si>
    <t>設計、供應及安裝接待櫃連檯下櫃(6530m），需提供連同周邊環境一起設計的效果圖、材料及深化詳圖進行審批，須預留位置、正面及側面石材、不鏽鋼等，其他五金配件等一切有關收口、所需材料及工序。</t>
  </si>
  <si>
    <t>E30</t>
  </si>
  <si>
    <t>20層，男女衛生間固定家具；</t>
  </si>
  <si>
    <t>E30.1</t>
  </si>
  <si>
    <t>設計、供應及安裝洗手台，需提供連同周邊環境一起設計的效果圖、材料及深化詳圖進行審批，須預留位置、正面及側面石材、木飾面等，其他五金配件等一切有關收口、所需材料及工序。</t>
  </si>
  <si>
    <t>E30.1.1</t>
  </si>
  <si>
    <t>E30.1.2</t>
  </si>
  <si>
    <t>E30.2</t>
  </si>
  <si>
    <t>E30.2.1</t>
  </si>
  <si>
    <t>於20層，女廁;木飾面櫃（1700*2600mm)</t>
  </si>
  <si>
    <t>E30.2.2</t>
  </si>
  <si>
    <t>於20層，男廁;木飾面櫃（900*2600mm)</t>
  </si>
  <si>
    <t>E31</t>
  </si>
  <si>
    <t>20層，SEVER房</t>
  </si>
  <si>
    <t>E31.1</t>
  </si>
  <si>
    <t>E32</t>
  </si>
  <si>
    <t>22層，員工辦公區及會議室固定家具工程</t>
  </si>
  <si>
    <t>E32.1</t>
  </si>
  <si>
    <t>E32.1.1</t>
  </si>
  <si>
    <t>E32.1.2</t>
  </si>
  <si>
    <t>E32.1.3</t>
  </si>
  <si>
    <t>E32.1.4</t>
  </si>
  <si>
    <t>設計、供應及安裝木飾面櫃（1500*2600mm)
木飾面、五金配件等一切有關收口、所需材料及工序。</t>
  </si>
  <si>
    <t>E32.1.5</t>
  </si>
  <si>
    <t>設計、供應及安裝木飾面錄單機櫃（1200*2600mm)
木飾面、五金配件等一切有關收口、所需材料及工序。</t>
  </si>
  <si>
    <t>E32.2</t>
  </si>
  <si>
    <t>E32.2.1</t>
  </si>
  <si>
    <t>設計、供應及安裝木飾面櫃（6000*2600mm)
木飾面、五金配件等一切有關收口、所需材料及工序。</t>
  </si>
  <si>
    <t>E32.3</t>
  </si>
  <si>
    <t>E32.3.1</t>
  </si>
  <si>
    <t>設計、供應及安裝木飾面櫃（5100*2600mm)
木飾面、五金配件等一切有關收口、所需材料及工序。</t>
  </si>
  <si>
    <t>E32.4</t>
  </si>
  <si>
    <t>E32.4.1</t>
  </si>
  <si>
    <t>於22層，影印房;木飾面櫃（3000*2600mm)</t>
  </si>
  <si>
    <t>E32.4.2</t>
  </si>
  <si>
    <t>於22層，檔案室1;木飾面櫃（1500*2600mm)</t>
  </si>
  <si>
    <t>E32.4.3</t>
  </si>
  <si>
    <t>於22層，保險庫1;木飾面櫃（1400*2600mm)</t>
  </si>
  <si>
    <t>E32.4.4</t>
  </si>
  <si>
    <t>於22層，保險庫1;木飾面櫃（1500*2600mm)</t>
  </si>
  <si>
    <t>E32.4.5</t>
  </si>
  <si>
    <t>於22層，保險庫1;木飾面櫃（4500*2600mm)</t>
  </si>
  <si>
    <t>E32.4.6</t>
  </si>
  <si>
    <t>於22層，檔案室2;木飾面櫃（2400*2600mm)</t>
  </si>
  <si>
    <t>E32.4.7</t>
  </si>
  <si>
    <t>於22層，檔案室3;木飾面櫃（2400*2600mm)</t>
  </si>
  <si>
    <t>E33</t>
  </si>
  <si>
    <t>22層，接待區固定家具工程</t>
  </si>
  <si>
    <t>E33.1</t>
  </si>
  <si>
    <t>E33.1.1</t>
  </si>
  <si>
    <t>E33.2</t>
  </si>
  <si>
    <t>E33.2.1</t>
  </si>
  <si>
    <t>設計、供應及安裝木飾面櫃（6200*2600mm)
木飾面、五金配件等一切有關收口、所需材料及工序。</t>
  </si>
  <si>
    <t>E33.2.2</t>
  </si>
  <si>
    <t>設計、供應及安裝櫥櫃及吊櫃（長度2300mm)
木飾面、五金配件等一切有關收口、所需材料及工序。</t>
  </si>
  <si>
    <t>E33.3</t>
  </si>
  <si>
    <t>E33.3.1</t>
  </si>
  <si>
    <t>E33.3.2</t>
  </si>
  <si>
    <t>設計、供應及安裝木飾面櫃（850*2600mm)
木飾面、五金配件等一切有關收口、所需材料及工序。</t>
  </si>
  <si>
    <t>E34</t>
  </si>
  <si>
    <t>E34.1</t>
  </si>
  <si>
    <t>E34.1.1</t>
  </si>
  <si>
    <t>設計、供應及安裝木飾面櫃（800*2600mm)
木飾面、五金配件等一切有關收口、所需材料及工序。</t>
  </si>
  <si>
    <t>E34.1.2</t>
  </si>
  <si>
    <t>設計、供應及安裝木飾面櫃（400*2600mm)
木飾面、五金配件等一切有關收口、所需材料及工序。</t>
  </si>
  <si>
    <t>E34.2</t>
  </si>
  <si>
    <t>E34.2.1</t>
  </si>
  <si>
    <t>於22層，小會議室；木飾面櫃（3800*2600mm)</t>
  </si>
  <si>
    <t>E34.2.2</t>
  </si>
  <si>
    <t>於22層，會議室；木飾面櫃（3800*2600mm)</t>
  </si>
  <si>
    <t>E34.2.3</t>
  </si>
  <si>
    <t>於22層，總經理室；木飾面櫃（1500*2600mm)</t>
  </si>
  <si>
    <t>E34.2.4</t>
  </si>
  <si>
    <t>於22層，總經理室；木飾面櫃（3400*2600mm)</t>
  </si>
  <si>
    <t>E34.2.5</t>
  </si>
  <si>
    <t>於22層，總經理室；木飾面櫃（4000*2600mm)</t>
  </si>
  <si>
    <t>E35</t>
  </si>
  <si>
    <t>E35.1</t>
  </si>
  <si>
    <t>E35.1.1</t>
  </si>
  <si>
    <t>E35.1.2</t>
  </si>
  <si>
    <t>E35.2</t>
  </si>
  <si>
    <t>E35.2.1</t>
  </si>
  <si>
    <t>於22層，女廁;木飾面櫃（1700*2600mm)</t>
  </si>
  <si>
    <t>E35.2.2</t>
  </si>
  <si>
    <t>於22層，男廁;木飾面櫃（900*2600mm)</t>
  </si>
  <si>
    <t>標識工程</t>
  </si>
  <si>
    <t>E36</t>
  </si>
  <si>
    <t>設計、供應及安裝LOGO牌匾，需連同立面一同設計，承攬人應提供效果圖、深化圖則、材料審批確認，並包括一切材料、配件、收口及工序。</t>
  </si>
  <si>
    <t>E36.1</t>
  </si>
  <si>
    <t>於20層，客服區/接待處（詳見效果圖）</t>
  </si>
  <si>
    <t>E36.2</t>
  </si>
  <si>
    <t>於22層，接待處（詳見效果圖）</t>
  </si>
  <si>
    <t>E36.3</t>
  </si>
  <si>
    <t>於22層，會客室/文化展區（詳見效果圖）</t>
  </si>
  <si>
    <t>E37</t>
  </si>
  <si>
    <t>設計、供應及安裝不鏽鋼立柱吊牌，需連同立面一同設計，承攬人應提供效果圖、深化圖則、材料審批確認，並包括一切材料、配件、收口及工序。</t>
  </si>
  <si>
    <t>E37.1</t>
  </si>
  <si>
    <t>E38</t>
  </si>
  <si>
    <t>設計、供應及安裝不鏽鋼門牌/指引牌，需連同立面一同設計，承攬人應提供效果圖、深化圖則、材料審批確認，並包括一切材料、配件、收口及工序。</t>
  </si>
  <si>
    <t>E38.1</t>
  </si>
  <si>
    <t>於22層</t>
  </si>
  <si>
    <t>E38.2</t>
  </si>
  <si>
    <r>
      <rPr>
        <b/>
        <sz val="10"/>
        <rFont val="微軟正黑體"/>
        <family val="2"/>
      </rPr>
      <t xml:space="preserve">第五章  </t>
    </r>
    <r>
      <rPr>
        <b/>
        <u/>
        <sz val="10"/>
        <rFont val="微軟正黑體"/>
        <family val="2"/>
      </rPr>
      <t> 裝修部份</t>
    </r>
    <r>
      <rPr>
        <b/>
        <sz val="10"/>
        <rFont val="微軟正黑體"/>
        <family val="2"/>
      </rPr>
      <t xml:space="preserve"> 合計金額: (澳門幣)</t>
    </r>
  </si>
  <si>
    <t>F. 第六章  門及間斷部份</t>
  </si>
  <si>
    <t>關於本 '第六章 - 門及間斷部份',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</si>
  <si>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t>F1</t>
  </si>
  <si>
    <t>設計、供應及安裝經認可之防火門，按圖紙及技術規範要求包括但不限於門框、門扇面板、門鉸、線飾、預埋件、錨固件、把手、閉門器、修口材料、推桿並接駁至消防系統、防火證書、小五金等所需的一切工序</t>
  </si>
  <si>
    <t>F1.1</t>
  </si>
  <si>
    <t>雙掩防火門（木門），防火等級EI60</t>
  </si>
  <si>
    <t>F1.1.1</t>
  </si>
  <si>
    <t>於20層，檔案室1與公共區域；單掩防火木門（900*2200mm)</t>
  </si>
  <si>
    <t>樘</t>
  </si>
  <si>
    <t>F1.1.2</t>
  </si>
  <si>
    <t>於20層，檔案室2與公共區域；單掩防火木門（900*2200mm)</t>
  </si>
  <si>
    <t>F1.1.3</t>
  </si>
  <si>
    <t>於20層，SEVER房與公共區域；單掩防火木門（900*2200mm)</t>
  </si>
  <si>
    <t>F1.1.4</t>
  </si>
  <si>
    <t>於20層，男廁與公共區域；單掩防火木門（900*2200mm)</t>
  </si>
  <si>
    <t>F1.1.5</t>
  </si>
  <si>
    <t>於20層，女廁與公共區域；單掩防火木門（900*2200mm)</t>
  </si>
  <si>
    <t>F1.1.6</t>
  </si>
  <si>
    <t>於22層，男廁與公共區域；單掩防火木門（900*2200mm)</t>
  </si>
  <si>
    <t>F1.1.7</t>
  </si>
  <si>
    <t>於22層，女廁與公共區域；單掩防火木門（900*2200mm)</t>
  </si>
  <si>
    <t>F1.1.8</t>
  </si>
  <si>
    <t>於22層，文化展區/會客廳與公共區域；雙掩防火木門（1800*2200mm)</t>
  </si>
  <si>
    <t>F1.1.9</t>
  </si>
  <si>
    <t>於22層，檔案室2與公共區域；單掩防火木門（900*2200mm)</t>
  </si>
  <si>
    <t>F1.1.10</t>
  </si>
  <si>
    <t>於22層，檔案室3與公共區域；單掩防火木門（900*2200mm)</t>
  </si>
  <si>
    <t>F1.1.11</t>
  </si>
  <si>
    <t>於22層，檔案室4與公共區域；單掩防火木門（900*2200mm)</t>
  </si>
  <si>
    <t>F1.2</t>
  </si>
  <si>
    <t>防火門（玻璃門），防火等級EI60</t>
  </si>
  <si>
    <t>F1.2.1</t>
  </si>
  <si>
    <t>於20層，36人辦公區與公共區域；雙掩防火玻璃門（1800*2200mm)</t>
  </si>
  <si>
    <t>F1.2.2</t>
  </si>
  <si>
    <t>於20層，36人辦公區與公共區域；防火電移門（3400*2200mm)</t>
  </si>
  <si>
    <t>F1.2.3</t>
  </si>
  <si>
    <t>於20層，會所VIP（休閒區、簽約室4-5）與公共區域；雙掩防火玻璃門（1800*2200mm)</t>
  </si>
  <si>
    <t>F1.2.4</t>
  </si>
  <si>
    <t>於20層，檔案室3與公共區域；單掩防火玻璃門（900*2200mm)</t>
  </si>
  <si>
    <t>F1.2.5</t>
  </si>
  <si>
    <t>於20層，代理辦公區與公共區域；單掩防火玻璃門（900*2200mm)</t>
  </si>
  <si>
    <t>F1.2.6</t>
  </si>
  <si>
    <t>於20層（代理辦公區），6人辦公區與公共區域；單掩防火玻璃門（900*2200mm)</t>
  </si>
  <si>
    <t>F1.2.7</t>
  </si>
  <si>
    <t>於20層，培訓室與公共區域；單掩防火玻璃門（1800*2200mm)</t>
  </si>
  <si>
    <t>F1.2.8</t>
  </si>
  <si>
    <t>於22層接待區，文化展區/會客室與公共區域；雙掩防火玻璃門（1800*2200mm)</t>
  </si>
  <si>
    <t>F2</t>
  </si>
  <si>
    <t>設計、供應及安裝經認可之不鏽鋼防火門，按圖紙及技術規範要求包括但不限於門框、門扇面板、門鉸、靜音條、離線拍卡門鎖、線飾、預埋件、錨固件、把手、閉門器、門頂、小五金等所需的一切工序</t>
  </si>
  <si>
    <t>於22層員工辦公區及會議室區，保險庫1；單掩不鏽鋼防火門（900*2200mm)</t>
  </si>
  <si>
    <t>F3</t>
  </si>
  <si>
    <t>設計、供應及安裝經認可之木門，按圖紙及技術規範要求包括但不限於門框、門扇面板、門鉸、靜音條、離線拍卡門鎖、線飾、預埋件、錨固件、把手、閉門器、門頂、小五金等所需的一切工序</t>
  </si>
  <si>
    <t>F3.1</t>
  </si>
  <si>
    <t>於20層大型會議室區，收納間；單掩木門（900*2200mm)</t>
  </si>
  <si>
    <t>F3.2</t>
  </si>
  <si>
    <t>於20層大型會議室區，音控/收納；單掩木門（900*2200mm)</t>
  </si>
  <si>
    <t>F3.3</t>
  </si>
  <si>
    <t>於20層大型會議室區，冷氣機房；單掩木門（900*2200mm)</t>
  </si>
  <si>
    <t>F3.4</t>
  </si>
  <si>
    <t>於20層代理辦公區，接待處；單掩木門（900*2200mm)</t>
  </si>
  <si>
    <t>F3.5</t>
  </si>
  <si>
    <t>於22層員工辦公區及會議室區，設備室；單掩木門（900*2200mm)</t>
  </si>
  <si>
    <t>F3.6</t>
  </si>
  <si>
    <t>於22層員工辦公區及會議室區，影印房；單掩木門（900*2200mm)</t>
  </si>
  <si>
    <t>F3.7</t>
  </si>
  <si>
    <t>於22層員工辦公區及會議室區，冷氣機房；單掩木門（900*2200mm)</t>
  </si>
  <si>
    <t>F3.8</t>
  </si>
  <si>
    <t>於22層員工辦公區及會議室區，檔案室1；單掩木門（900*2200mm)</t>
  </si>
  <si>
    <t>F3.9</t>
  </si>
  <si>
    <t>於22層員工辦公區及會議室區，收納室；單掩木門（900*2200mm)</t>
  </si>
  <si>
    <t>F4</t>
  </si>
  <si>
    <t>設計、供應及安裝經認可之玻璃門，按圖紙及技術規範要求包括但不限於門框、門扇面板、頂底鉸、離線拍卡門鎖、線飾、預埋件、錨固件、把手、閉門器、門頂、小五金等所需的一切工序</t>
  </si>
  <si>
    <t>F4.1</t>
  </si>
  <si>
    <t>於20層內部辦公室區，獨立間；單掩玻璃門（700*2200mm)</t>
  </si>
  <si>
    <t>F4.2</t>
  </si>
  <si>
    <t>於20層內部辦公室區，檔案室4；單掩玻璃門（900*2200mm)</t>
  </si>
  <si>
    <t>F4.3</t>
  </si>
  <si>
    <t>於20層內部辦公室區，主管辦公室；單掩玻璃門（900*2200mm)</t>
  </si>
  <si>
    <t>F4.4</t>
  </si>
  <si>
    <t>於20層內部辦公室區，總經理辦公室；單掩玻璃門（900*2200mm)</t>
  </si>
  <si>
    <t>F4.5</t>
  </si>
  <si>
    <t>於20層內部辦公室區，12人會議室；單掩玻璃門（1800*2200mm)</t>
  </si>
  <si>
    <t>F4.6</t>
  </si>
  <si>
    <t>於20層會所VIP區，簽約室1/2/3；單掩玻璃門（900*2200mm)</t>
  </si>
  <si>
    <t>F4.7</t>
  </si>
  <si>
    <t>於20層代理辦公區，洽談室1；單掩玻璃門（900*2200mm)</t>
  </si>
  <si>
    <t>F4.8</t>
  </si>
  <si>
    <t>於20層代理辦公區，洽談室2；單掩玻璃門（900*2200mm)</t>
  </si>
  <si>
    <t>F4.9</t>
  </si>
  <si>
    <t>於20層代理辦公區，主管辦公室（近接待處）；單掩玻璃門（900*2200mm)</t>
  </si>
  <si>
    <t>F4.10</t>
  </si>
  <si>
    <t>於20層代理辦公區，洽談室3；單掩玻璃門（900*2200mm)</t>
  </si>
  <si>
    <t>F4.11</t>
  </si>
  <si>
    <t>於20層代理辦公區，洽談室4；單掩玻璃門（900*2200mm)</t>
  </si>
  <si>
    <t>F4.12</t>
  </si>
  <si>
    <t>於20層代理辦公區，6人辦公區；單掩玻璃門（900*2200mm)</t>
  </si>
  <si>
    <t>F4.13</t>
  </si>
  <si>
    <t>於20層代理辦公區，主管辦公室；單掩玻璃門（900*2200mm)</t>
  </si>
  <si>
    <t>F4.14</t>
  </si>
  <si>
    <t>於20層代理辦公區，代理主管辦公室；單掩玻璃門（900*2200mm)</t>
  </si>
  <si>
    <t>F4.15</t>
  </si>
  <si>
    <t>於20層代理辦公區，10人會議室；單掩玻璃門（900*2200mm)</t>
  </si>
  <si>
    <t>F4.16</t>
  </si>
  <si>
    <t>於22層員工辦公區及會議室區，視頻會議室；單掩玻璃門（900*2200mm)</t>
  </si>
  <si>
    <t>F4.17</t>
  </si>
  <si>
    <t>於22層員工辦公區及會議室區，視頻會議室；單掩玻璃門（700*2200mm)</t>
  </si>
  <si>
    <t>F4.18</t>
  </si>
  <si>
    <t>於22層員工辦公區及會議室區，24人會議室；單掩玻璃門（1800*2200mm)</t>
  </si>
  <si>
    <t>F4.19</t>
  </si>
  <si>
    <t>於22層主管及領導辦公區，小會議室；單掩玻璃門（900*2200mm)</t>
  </si>
  <si>
    <t>F4.20</t>
  </si>
  <si>
    <t>於22層主管及領導辦公區，主管辦公室；單掩玻璃門（900*2200mm)</t>
  </si>
  <si>
    <t>F4.21</t>
  </si>
  <si>
    <t>於22層主管及領導辦公區，會議室；單掩玻璃門（900*2200mm)</t>
  </si>
  <si>
    <t>F4.22</t>
  </si>
  <si>
    <t>於22層主管及領導辦公區，總經理；單掩玻璃門（1500*2200mm)</t>
  </si>
  <si>
    <t>F4.23</t>
  </si>
  <si>
    <t>於22層主管及領導辦公區，總經理室；單掩玻璃門（900*2200mm)</t>
  </si>
  <si>
    <t>F4.24</t>
  </si>
  <si>
    <t>於22層接待區，文化展區/會客室（近走廊）；雙掩玻璃門（1800*2200mm)</t>
  </si>
  <si>
    <t>F5</t>
  </si>
  <si>
    <t>設計、供應及安裝玻璃隔斷，包括面貼3M磨砂紙、隔斷頂部鋼結構骨架（塞棉及雙面封防火石膏板）、金屬龍骨、鋁合金框料、隔熱材料、封邊、頂蓋、防火保溫棉、填充板塊、密封膠、結構膠、膠條、雙面貼、預埋件、緊固件、需包括所有配件等所需的一切工序</t>
  </si>
  <si>
    <t>F5.1</t>
  </si>
  <si>
    <t>於20層；(廣州升格或包豪仕)</t>
  </si>
  <si>
    <t>F5.2</t>
  </si>
  <si>
    <t>F6</t>
  </si>
  <si>
    <t>設計、供應及安裝藝術玻璃隔斷，包括面貼3M磨砂紙、隔斷頂部鋼結構骨架（塞棉及雙面封防火石膏板）、金屬龍骨、鋁合金框料、隔熱材料、封邊、頂蓋、防火保溫棉、填充板塊、密封膠、結構膠、膠條、雙面貼、預埋件、緊固件、需包括所有配件等所需的一切工序</t>
  </si>
  <si>
    <t>F6.1</t>
  </si>
  <si>
    <t>於20層代理人辦公區及接待區，簽約室1/2於20層；(廣州升格或包豪仕)</t>
  </si>
  <si>
    <t>F7</t>
  </si>
  <si>
    <t>設計、供應及安裝活動屏風（包含活動屏風收納間、軌道及飾面），包括面貼木飾面、隔斷頂部鋼結構骨架（塞棉及雙面封防火石膏板）、金屬龍骨、鋁合金框料、隔熱材料、封邊、頂蓋、防火保溫棉、填充板塊、密封膠、結構膠、膠條、雙面貼、預埋件、緊固件、需包括所有配件等所需的一切工序</t>
  </si>
  <si>
    <t>F7.1</t>
  </si>
  <si>
    <t>於20層，培訓室；</t>
  </si>
  <si>
    <t>F8</t>
  </si>
  <si>
    <t>設計、供應及安裝弧形不鏽鋼玻璃隔斷，預埋件、緊固件、需包括所有配件等所需的一切工序，詳見效果圖；</t>
  </si>
  <si>
    <t>F8.1</t>
  </si>
  <si>
    <t>於20層，會所VIP（休閒區、簽約室4-5）</t>
  </si>
  <si>
    <t>F9</t>
  </si>
  <si>
    <t>設計、供應及安裝夾絲玻璃隔斷，預埋件、緊固件、需包括所有配件等所需的一切工序，詳見效果圖；</t>
  </si>
  <si>
    <t>F9.1</t>
  </si>
  <si>
    <t>於20層，客服區；</t>
  </si>
  <si>
    <t>F10</t>
  </si>
  <si>
    <t>設計、供應及安裝衛生間玻璃隔斷連不鏽鋼框，預埋件、緊固件、需包括所有配件等所需的一切工序，詳見效果圖；</t>
  </si>
  <si>
    <t>F10.1</t>
  </si>
  <si>
    <t>於20層，男女廁；</t>
  </si>
  <si>
    <t>F10.2</t>
  </si>
  <si>
    <t>於22層，男女廁；</t>
  </si>
  <si>
    <r>
      <rPr>
        <b/>
        <sz val="10"/>
        <rFont val="微軟正黑體"/>
        <family val="2"/>
      </rPr>
      <t xml:space="preserve">第六章  </t>
    </r>
    <r>
      <rPr>
        <b/>
        <u/>
        <sz val="10"/>
        <rFont val="微軟正黑體"/>
        <family val="2"/>
      </rPr>
      <t> 門及間斷部份</t>
    </r>
    <r>
      <rPr>
        <b/>
        <sz val="10"/>
        <rFont val="微軟正黑體"/>
        <family val="2"/>
      </rPr>
      <t xml:space="preserve"> 合計金額: (澳門幣)</t>
    </r>
  </si>
  <si>
    <r>
      <rPr>
        <sz val="10"/>
        <rFont val="微软雅黑"/>
        <family val="2"/>
      </rPr>
      <t>單價
(澳門幣)</t>
    </r>
  </si>
  <si>
    <r>
      <rPr>
        <sz val="10"/>
        <rFont val="微软雅黑"/>
        <family val="2"/>
      </rPr>
      <t>合價
(澳門幣)</t>
    </r>
  </si>
  <si>
    <t>套</t>
  </si>
  <si>
    <t>位</t>
  </si>
  <si>
    <t>H.  第八章  空調通風系統項目</t>
  </si>
  <si>
    <t>關於本 '第八章-空調通風系統項目',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</si>
  <si>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t>H1</t>
  </si>
  <si>
    <t>施工方需按設計冷氣點位優化, 經合資格機電工程師提交機電設計圖予設計及入則方審批</t>
  </si>
  <si>
    <t>項</t>
  </si>
  <si>
    <t>H2</t>
  </si>
  <si>
    <t>H2.1</t>
  </si>
  <si>
    <t>供應及安裝FCU-08，包括支撐等配件及末端接駁等： (低靜壓)</t>
  </si>
  <si>
    <t>台</t>
  </si>
  <si>
    <t>H2.2</t>
  </si>
  <si>
    <t>供應及安裝FCU-12，包括支撐等配件及末端接駁等：  (低靜壓)</t>
  </si>
  <si>
    <t>H2.3</t>
  </si>
  <si>
    <t>供應及安裝鍍鋅風管連25mm保温</t>
  </si>
  <si>
    <t>m2</t>
  </si>
  <si>
    <t>H2.4</t>
  </si>
  <si>
    <t>供應及安裝風缽</t>
  </si>
  <si>
    <t>H2.5</t>
  </si>
  <si>
    <t>供應及安裝200W 出風線咀</t>
  </si>
  <si>
    <t>H2.6</t>
  </si>
  <si>
    <t>供應及安裝200W 回風百葉</t>
  </si>
  <si>
    <t>H2.7</t>
  </si>
  <si>
    <t>供應及安裝風機盤管温度控制器及相關電線及配件</t>
  </si>
  <si>
    <t>只</t>
  </si>
  <si>
    <t>H2.8</t>
  </si>
  <si>
    <t>供應及安裝壓差感應器，包括喉管，電線及相關配件</t>
  </si>
  <si>
    <t>H2.9</t>
  </si>
  <si>
    <t>供應及安裝溫度感應器，包括喉管，電線及相關配件</t>
  </si>
  <si>
    <t>H2.10</t>
  </si>
  <si>
    <t>供應及安裝電磁閥(按現場)</t>
  </si>
  <si>
    <t>H2.11</t>
  </si>
  <si>
    <t>供應及安裝閘閥(按現場)</t>
  </si>
  <si>
    <t>H2.12</t>
  </si>
  <si>
    <r>
      <rPr>
        <sz val="10"/>
        <rFont val="微軟正黑體"/>
        <family val="2"/>
      </rPr>
      <t>供裝</t>
    </r>
    <r>
      <rPr>
        <sz val="10"/>
        <color theme="1"/>
        <rFont val="微軟正黑體"/>
        <family val="2"/>
      </rPr>
      <t>Φ50mm冷凍水管連保温，支架及配件(按現場)</t>
    </r>
  </si>
  <si>
    <t>H2.13</t>
  </si>
  <si>
    <r>
      <rPr>
        <sz val="10"/>
        <rFont val="微軟正黑體"/>
        <family val="2"/>
      </rPr>
      <t>供裝</t>
    </r>
    <r>
      <rPr>
        <sz val="10"/>
        <color theme="1"/>
        <rFont val="微軟正黑體"/>
        <family val="2"/>
      </rPr>
      <t>Φ32mm冷凍水管連保温，支架及配件(按現場)</t>
    </r>
  </si>
  <si>
    <t>H2.14</t>
  </si>
  <si>
    <r>
      <rPr>
        <sz val="10"/>
        <rFont val="微軟正黑體"/>
        <family val="2"/>
      </rPr>
      <t>供裝</t>
    </r>
    <r>
      <rPr>
        <sz val="10"/>
        <color theme="1"/>
        <rFont val="微軟正黑體"/>
        <family val="2"/>
      </rPr>
      <t>Φ25mm冷凍水管連保温，支架及配件(按現場)</t>
    </r>
  </si>
  <si>
    <t>H2.15</t>
  </si>
  <si>
    <t>連接現有電動防火閘信號</t>
  </si>
  <si>
    <t>H2.16</t>
  </si>
  <si>
    <t>清洗冷凍水來去水喉管連壓力測試及提供合格驗水報告。</t>
  </si>
  <si>
    <t>H2.17</t>
  </si>
  <si>
    <t>測試及調試</t>
  </si>
  <si>
    <t>H2.18</t>
  </si>
  <si>
    <t>油漆及標簽</t>
  </si>
  <si>
    <t>供應及安裝FCU-08，包括支撐等配件及末端接駁等：  (低靜壓)</t>
  </si>
  <si>
    <t>供應及安裝FCU-10，包括支撐等配件及末端接駁等：  (低靜壓)</t>
  </si>
  <si>
    <t>供應及安裝FCU-14，包括支撐等配件及末端接駁等：  (低靜壓)</t>
  </si>
  <si>
    <t>H2.19</t>
  </si>
  <si>
    <t>H2.20</t>
  </si>
  <si>
    <t>H3</t>
  </si>
  <si>
    <t>H3.1</t>
  </si>
  <si>
    <t>供應及安裝大金牌22匹VRV散熱主機，工程包括鉛水槽鐵座地支架、避震
物料等。</t>
  </si>
  <si>
    <t xml:space="preserve">供應及安裝大金牌VRV風管式室內機 
</t>
  </si>
  <si>
    <t>H3.2</t>
  </si>
  <si>
    <t>1匹</t>
  </si>
  <si>
    <t>H3.3</t>
  </si>
  <si>
    <t>2匹</t>
  </si>
  <si>
    <t>H3.4</t>
  </si>
  <si>
    <t>3匹</t>
  </si>
  <si>
    <t>H3.5</t>
  </si>
  <si>
    <t>5匹</t>
  </si>
  <si>
    <t>H3.6</t>
  </si>
  <si>
    <t>供應及安裝溫度控制器、工程包括控制線路及電線保護膠管。</t>
  </si>
  <si>
    <t>H3.7</t>
  </si>
  <si>
    <t>提供及安裝厚身銅喉及厚身保溫管,接駁室內與室外機組.工程包括：充氮燒焊,高壓試漏,清潔管路,(澳洲銅喉Sealperfect,規格按廠方要求厚度)。</t>
  </si>
  <si>
    <t>H3.8</t>
  </si>
  <si>
    <t>供應及安裝鍍鋅星鐵梳茜及配件。</t>
  </si>
  <si>
    <t>H3.9</t>
  </si>
  <si>
    <t>提供及安裝1"PVC排水管連厚身保溫管,接駁至排水口。</t>
  </si>
  <si>
    <t>H3.10</t>
  </si>
  <si>
    <t>提供及安裝控制線路連接室內與室外機組，工程包括電綫保護膠管。</t>
  </si>
  <si>
    <t>H3.11</t>
  </si>
  <si>
    <t>提供及安裝控制線路及電線保護膠管，安裝牆身溫度控制器，工程包括; 牆身鑿牆、回填等。</t>
  </si>
  <si>
    <t>H3.12</t>
  </si>
  <si>
    <t>提供及安裝導風管及鋁質線條型出風咀及回風咀，鋁質濾塵網等。</t>
  </si>
  <si>
    <t>H3.13</t>
  </si>
  <si>
    <t>系統補充雪種及開機調試、提交原廠測試報告。</t>
  </si>
  <si>
    <t>H3.14</t>
  </si>
  <si>
    <t>提供及安裝25平方室外機電源線路，由電箱至室外主機。</t>
  </si>
  <si>
    <t>H3.15</t>
  </si>
  <si>
    <t>提供及安裝散熱機房防水百葉，工程包括 拆除玻璃等。</t>
  </si>
  <si>
    <r>
      <rPr>
        <b/>
        <sz val="10"/>
        <rFont val="微軟正黑體"/>
        <family val="2"/>
      </rPr>
      <t xml:space="preserve">第八章  </t>
    </r>
    <r>
      <rPr>
        <b/>
        <u/>
        <sz val="10"/>
        <rFont val="微軟正黑體"/>
        <family val="2"/>
      </rPr>
      <t>空調通風系統項目</t>
    </r>
    <r>
      <rPr>
        <b/>
        <sz val="10"/>
        <rFont val="微軟正黑體"/>
        <family val="2"/>
      </rPr>
      <t xml:space="preserve"> 合計金額: (澳門幣)</t>
    </r>
  </si>
  <si>
    <t>幷綜合現場實况、相關文件和規範資料等分析核算後才填報各指定細項</t>
  </si>
  <si>
    <t>的報價數量和金額。若工程承攬人認為本章列項存在缺漏情況的,</t>
  </si>
  <si>
    <t>可自行把應作補充之項目詳列于本【填寫投標價格之工程量表】 '第十三章</t>
  </si>
  <si>
    <t>其他' 內和填寫相應的投標報價數量和金額,</t>
  </si>
  <si>
    <t>上述補充項目之報價金額將視為組成本工程投標總價的其中部份。</t>
  </si>
  <si>
    <t>關于本 【填寫投標價格之工程量表】 內各章節細項當標示爲 {暫定項目}</t>
  </si>
  <si>
    <t>時, 定作人有權最終作出 取消、維持 或 增/减工程量 的决定,</t>
  </si>
  <si>
    <t>本工程承攬人必須無條件地完全配合執行,幷且在本工程竣工結算程序中</t>
  </si>
  <si>
    <t>必須對該項目的最終實施結果按照單價如實結算,</t>
  </si>
  <si>
    <t>包括但不限于對該項目數量和費用作出增加、維持、扣减 處理等,</t>
  </si>
  <si>
    <t>本工程承包人無權利因上述定作人之决定而提出新增其他任何附加費用</t>
  </si>
  <si>
    <t>之要求。</t>
  </si>
  <si>
    <t>本項目設施及建材必須符合國際建築規範和澳門政府部門應可之規範實</t>
  </si>
  <si>
    <t>施幷達至竣工檢驗合格之標準,</t>
  </si>
  <si>
    <t>相關設施及建材必須附有符合國際建築規範和澳門政府部門應可之技術</t>
  </si>
  <si>
    <t>檢測報告/證書等文件。</t>
  </si>
  <si>
    <t>內注明之描述/解釋、結合現場實况條件、澳門現行相關法律法規和國際</t>
  </si>
  <si>
    <t>建築規範等要求進行報價分析,</t>
  </si>
  <si>
    <t>並按上列各規定其中的最高標準執行和實施本工程。</t>
  </si>
  <si>
    <t>圖'、'生産圖'、'施工圖'或一切適用之文件等)和包施工之模式實施</t>
  </si>
  <si>
    <t>材料、設備等。</t>
  </si>
  <si>
    <t>I1.2</t>
  </si>
  <si>
    <t>I1.3</t>
  </si>
  <si>
    <t>I1.4</t>
  </si>
  <si>
    <t>I1.5</t>
  </si>
  <si>
    <t>I1.6</t>
  </si>
  <si>
    <t>I1.7</t>
  </si>
  <si>
    <t>I1.8</t>
  </si>
  <si>
    <t>I1.9</t>
  </si>
  <si>
    <t>I1.10</t>
  </si>
  <si>
    <t>I1.11</t>
  </si>
  <si>
    <t>I2.3</t>
  </si>
  <si>
    <t>I2.4</t>
  </si>
  <si>
    <t>I2.5</t>
  </si>
  <si>
    <t>I3.2</t>
  </si>
  <si>
    <t>I3.3</t>
  </si>
  <si>
    <t>I3.4</t>
  </si>
  <si>
    <t>I3.5</t>
  </si>
  <si>
    <t>I3.6</t>
  </si>
  <si>
    <t>I3.7</t>
  </si>
  <si>
    <t>I3.8</t>
  </si>
  <si>
    <t>J.  第十章   弱電系統項目</t>
  </si>
  <si>
    <t>于本 【填寫投標價格之工程量表】  '第十章 -</t>
  </si>
  <si>
    <t>強電系統項目' 內, 工程承攬人應參照各項說明內容,</t>
  </si>
  <si>
    <t>承攬人必須按電位點位圖及應用設備之電量以包設計及計算電量(註:即指爲合理實施本工程而有必要性出版之'設計</t>
  </si>
  <si>
    <t>強電系統項目,幷包括但不限于提供一切所需工序和提供一切主/輔</t>
  </si>
  <si>
    <t>J1</t>
  </si>
  <si>
    <t>供裝22樓 300A三相總電箱連內部配件，包括所需內部電氣元件及線路、電纜接頭及所需一切配件至完整，所有菲仕，索制均用施耐德系列並滿足商場審批。</t>
  </si>
  <si>
    <t>J2</t>
  </si>
  <si>
    <t>供裝20樓300A三相分電箱QG連內部配件，包括所需內部電氣元件及線路、電纜接頭及所需一切配件至完整，所有菲仕，索制均用施耐德系列並滿足商場審批。</t>
  </si>
  <si>
    <t>J5</t>
  </si>
  <si>
    <t xml:space="preserve"> 由總電箱接駁至分支總電箱線纜</t>
  </si>
  <si>
    <t>J6</t>
  </si>
  <si>
    <r>
      <rPr>
        <sz val="10"/>
        <rFont val="微软雅黑"/>
        <family val="2"/>
      </rPr>
      <t>供裝300mm疏茜</t>
    </r>
    <r>
      <rPr>
        <sz val="10"/>
        <color theme="1"/>
        <rFont val="微软雅黑"/>
        <family val="2"/>
      </rPr>
      <t>,包括吊碼等相關配件</t>
    </r>
  </si>
  <si>
    <t>J7</t>
  </si>
  <si>
    <t>J7.1</t>
  </si>
  <si>
    <t>J7.2</t>
  </si>
  <si>
    <t>供應及安裝燈掣</t>
  </si>
  <si>
    <t>J7.3</t>
  </si>
  <si>
    <t>供裝天花筒燈出電位,包括喉管,電線及相關配件等</t>
  </si>
  <si>
    <t>J7.4</t>
  </si>
  <si>
    <t>供裝天花雙LED 燈帶電位,包括喉管,電線及相關配件等</t>
  </si>
  <si>
    <t>J7.5</t>
  </si>
  <si>
    <t>供裝墻身暗藏LED燈帶出電位,包括喉管,電線及相關配件等</t>
  </si>
  <si>
    <t>J8</t>
  </si>
  <si>
    <t>J8.1</t>
  </si>
  <si>
    <t>J8.2</t>
  </si>
  <si>
    <t>J8.3</t>
  </si>
  <si>
    <t>J8.4</t>
  </si>
  <si>
    <t>J8.5</t>
  </si>
  <si>
    <t>J8.6</t>
  </si>
  <si>
    <t>供裝出路燈出電位,包括喉管,電線及相關配件等</t>
  </si>
  <si>
    <r>
      <rPr>
        <b/>
        <sz val="10"/>
        <rFont val="微软雅黑"/>
        <family val="2"/>
      </rPr>
      <t xml:space="preserve">第十章  </t>
    </r>
    <r>
      <rPr>
        <b/>
        <u/>
        <sz val="10"/>
        <rFont val="微软雅黑"/>
        <family val="2"/>
      </rPr>
      <t xml:space="preserve"> 強電系統項目</t>
    </r>
    <r>
      <rPr>
        <b/>
        <sz val="10"/>
        <rFont val="微软雅黑"/>
        <family val="2"/>
      </rPr>
      <t xml:space="preserve"> 合計金額: (澳門幣)</t>
    </r>
  </si>
  <si>
    <t>K.  第十一章  供排水系統項目</t>
  </si>
  <si>
    <t>關於本 '第十一章-供排水系統項目',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</si>
  <si>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t xml:space="preserve">洗手間22樓供排水及潔具 </t>
  </si>
  <si>
    <t>按平面圖於22樓洗手間供裝冷熱水供水銅管包括直接配件、變徑、彎頭、三叉、固定碼、吊桿、過墻套管等(銀焊接駁)。</t>
  </si>
  <si>
    <t>按平面圖於22樓洗手間供裝皇冠牌排水管網包括直接配件、變徑、彎頭、三叉、固定碼、吊桿、過墻套管等</t>
  </si>
  <si>
    <t>J1.1</t>
  </si>
  <si>
    <t>男洗手間(以下包括所有潔具, 配件,角閥, 閘制等)</t>
  </si>
  <si>
    <t>J1.1.1</t>
  </si>
  <si>
    <t>供應及安裝洗手間座廁來去水(提供TOTO 座廁) TOTO TORNADO FLUSH 超旋式沖水座廁</t>
  </si>
  <si>
    <t>J1.1.2</t>
  </si>
  <si>
    <t>供應及安裝洗手間星盆來去水(提供TOTO 洗手盆)</t>
  </si>
  <si>
    <t>J1.1.3</t>
  </si>
  <si>
    <t>供應及安裝洗手間龍頭(提供TOTO 龍頭)</t>
  </si>
  <si>
    <t>J1.1.4</t>
  </si>
  <si>
    <t>供應及安裝洗手間尿兜(提供TOTO尿兜)</t>
  </si>
  <si>
    <t>J1.1.5</t>
  </si>
  <si>
    <t>供應及安裝洗手間地漏</t>
  </si>
  <si>
    <t>J1.2</t>
  </si>
  <si>
    <t>女洗手間(以下包括所有潔具, 配件,角閥, 閘制等)</t>
  </si>
  <si>
    <t>J1.2.1</t>
  </si>
  <si>
    <t>J1.2.2</t>
  </si>
  <si>
    <t>J1.2.3</t>
  </si>
  <si>
    <t>J1.2.4</t>
  </si>
  <si>
    <t>供應及安裝洗手間</t>
  </si>
  <si>
    <t>J1.3</t>
  </si>
  <si>
    <t>按平面圖於22樓茶水間供裝冷熱水供水銅管或保利銅管包括直接配件、變徑、彎頭、三叉、固定碼、吊桿、過墻套管等(銀焊接駁)。</t>
  </si>
  <si>
    <t>按平面圖於22樓茶水間供裝皇冠牌排水管網包括直接配件、變徑、彎頭、三叉、固定碼、吊桿、過墻套管等</t>
  </si>
  <si>
    <t>J1.3.1</t>
  </si>
  <si>
    <t>供應及安裝茶水間星盆來去水</t>
  </si>
  <si>
    <t xml:space="preserve">洗手間20樓供排水及潔具 </t>
  </si>
  <si>
    <t>按平面圖於20樓洗手間供裝冷熱水供水銅管包括直接配件、變徑、彎頭、三叉、固定碼、吊桿、過墻套管等(銀焊接駁)。</t>
  </si>
  <si>
    <t>按平面圖於20樓洗手間供裝皇冠牌排水管網包括直接配件、變徑、彎頭、三叉、固定碼、吊桿、過墻套管等</t>
  </si>
  <si>
    <t>J2.1</t>
  </si>
  <si>
    <t>J2.1.1</t>
  </si>
  <si>
    <t>J2.1.2</t>
  </si>
  <si>
    <t>J2.1.3</t>
  </si>
  <si>
    <t>J2.1.4</t>
  </si>
  <si>
    <t>J2.1.5</t>
  </si>
  <si>
    <t>J2.2</t>
  </si>
  <si>
    <t>J2.2.1</t>
  </si>
  <si>
    <t>J2.2.2</t>
  </si>
  <si>
    <t>J2.2.3</t>
  </si>
  <si>
    <t>J2.2.4</t>
  </si>
  <si>
    <t>J2.3</t>
  </si>
  <si>
    <t>按平面圖於20樓茶水間供裝冷熱水供水銅管或保利銅管包括直接配件、變徑、彎頭、三叉、固定碼、吊桿、過墻套管等(銀焊接駁)。</t>
  </si>
  <si>
    <t>按平面圖於20樓茶水間供裝皇冠牌排水管網包括直接配件、變徑、彎頭、三叉、固定碼、吊桿、過墻套管等</t>
  </si>
  <si>
    <t>J2.3.1</t>
  </si>
  <si>
    <t>J2.3.2</t>
  </si>
  <si>
    <t>供應及安裝茶水間隔油井及抽水泵</t>
  </si>
  <si>
    <t>J2.4</t>
  </si>
  <si>
    <t>按平面圖於20樓會所供裝冷熱水供水銅管或保利銅管包括直接配件、變徑、彎頭、三叉、固定碼、吊桿、過墻套管等(銀焊接駁)。</t>
  </si>
  <si>
    <t>按平面圖於20樓會所供裝皇冠牌排水管網包括直接配件、變徑、彎頭、三叉、固定碼、吊桿、過墻套管等</t>
  </si>
  <si>
    <t>J2.4.1</t>
  </si>
  <si>
    <t>供應及安裝會所星盆來去水</t>
  </si>
  <si>
    <t>J2.4.2</t>
  </si>
  <si>
    <t>供應及安裝會所星盆隔油井及抽水泵</t>
  </si>
  <si>
    <r>
      <rPr>
        <b/>
        <sz val="10"/>
        <rFont val="微軟正黑體"/>
        <family val="2"/>
      </rPr>
      <t xml:space="preserve">第十一章  </t>
    </r>
    <r>
      <rPr>
        <b/>
        <u/>
        <sz val="10"/>
        <rFont val="微軟正黑體"/>
        <family val="2"/>
      </rPr>
      <t> 供排水系統項目</t>
    </r>
    <r>
      <rPr>
        <b/>
        <sz val="10"/>
        <rFont val="微軟正黑體"/>
        <family val="2"/>
      </rPr>
      <t xml:space="preserve"> 合計金額: (澳門幣)</t>
    </r>
  </si>
  <si>
    <r>
      <rPr>
        <sz val="10"/>
        <rFont val="Microsoft YaHei UI"/>
        <family val="2"/>
      </rPr>
      <t>L</t>
    </r>
    <r>
      <rPr>
        <sz val="10"/>
        <rFont val="微軟正黑體"/>
        <family val="2"/>
      </rPr>
      <t>.  第十二章  消防系統項目</t>
    </r>
  </si>
  <si>
    <t>關於本 '第十二章 - 消防系統項目',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</si>
  <si>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t>K1</t>
  </si>
  <si>
    <t>20層，消防系統項目</t>
  </si>
  <si>
    <t>K1.1</t>
  </si>
  <si>
    <t>拆除原有不適用之喉管</t>
  </si>
  <si>
    <t>K1.2</t>
  </si>
  <si>
    <t>供裝68度假天花下花灑頭（隱蔽式）及配件</t>
  </si>
  <si>
    <t>K1.3</t>
  </si>
  <si>
    <t>供裝臨時100mm閘掣連配件</t>
  </si>
  <si>
    <t>K1.4</t>
  </si>
  <si>
    <t>供裝G.I喉管（符合BS1387中級）連配件</t>
  </si>
  <si>
    <t>25mm</t>
  </si>
  <si>
    <t>32mm</t>
  </si>
  <si>
    <t>40mm</t>
  </si>
  <si>
    <t>50mm</t>
  </si>
  <si>
    <t>65mm</t>
  </si>
  <si>
    <t>80mm</t>
  </si>
  <si>
    <t>100mm</t>
  </si>
  <si>
    <t>K1.5</t>
  </si>
  <si>
    <t>消防花灑放水及回灌工序</t>
  </si>
  <si>
    <t>K1.6</t>
  </si>
  <si>
    <t>供裝火災自動探測器1回路控制箱連後備電池</t>
  </si>
  <si>
    <t>K1.7</t>
  </si>
  <si>
    <t>供裝消防煙感連燈喉及電線</t>
  </si>
  <si>
    <t>K1.8</t>
  </si>
  <si>
    <t>供裝消防熱感連燈喉及電線</t>
  </si>
  <si>
    <t>K1.9</t>
  </si>
  <si>
    <t>供裝消輸入及輸出連燈喉及電線</t>
  </si>
  <si>
    <t>K1.10</t>
  </si>
  <si>
    <t>供裝消防扲手及警鐘連燈喉電線</t>
  </si>
  <si>
    <t>K1.11</t>
  </si>
  <si>
    <t>火災自動探測系統電腦編程</t>
  </si>
  <si>
    <t>K1.12</t>
  </si>
  <si>
    <t>原有大廈火災自動探測系統隔離</t>
  </si>
  <si>
    <t>K1.13</t>
  </si>
  <si>
    <t>原有大廈火災自動探測系統電腦編程</t>
  </si>
  <si>
    <t>K1.14</t>
  </si>
  <si>
    <t>新增之火災自動探測系統與原大廈火災自動探測系統互相接收火警信號（包括原有系統之輸入及輸出模塊）</t>
  </si>
  <si>
    <t>K1.15</t>
  </si>
  <si>
    <t>新購4.5kg亁粉滅火筒連消防局檢驗</t>
  </si>
  <si>
    <t>支</t>
  </si>
  <si>
    <t>K1.16</t>
  </si>
  <si>
    <t>新購5kgCO2滅火筒連消防局檢驗</t>
  </si>
  <si>
    <t>K1.17</t>
  </si>
  <si>
    <t>消防設計圖則</t>
  </si>
  <si>
    <t>K1.18</t>
  </si>
  <si>
    <t>消防驗收合格證書</t>
  </si>
  <si>
    <t>K1.19</t>
  </si>
  <si>
    <t>木飾面防火漆處理及證書</t>
  </si>
  <si>
    <t>K1.20</t>
  </si>
  <si>
    <t>18.3KG NOVEC 1230滅火彈（NFD750A)</t>
  </si>
  <si>
    <t>K1.21</t>
  </si>
  <si>
    <t>24.4KG NOVEC 1230滅火彈（NFD1000A)</t>
  </si>
  <si>
    <t>K1.22</t>
  </si>
  <si>
    <t>消防喉管油漆</t>
  </si>
  <si>
    <t>K2</t>
  </si>
  <si>
    <t>22層，消防系統項目</t>
  </si>
  <si>
    <t>K2.1</t>
  </si>
  <si>
    <t>K2.2</t>
  </si>
  <si>
    <t>K2.3</t>
  </si>
  <si>
    <t>K2.4</t>
  </si>
  <si>
    <t>K2.5</t>
  </si>
  <si>
    <t>K2.6</t>
  </si>
  <si>
    <t>K2.7</t>
  </si>
  <si>
    <t>K2.8</t>
  </si>
  <si>
    <t>K2.9</t>
  </si>
  <si>
    <t>K2.10</t>
  </si>
  <si>
    <t>K2.11</t>
  </si>
  <si>
    <t>K2.12</t>
  </si>
  <si>
    <t>K2.13</t>
  </si>
  <si>
    <t>K2.14</t>
  </si>
  <si>
    <t>K2.15</t>
  </si>
  <si>
    <t>K2.16</t>
  </si>
  <si>
    <t>K2.17</t>
  </si>
  <si>
    <t>K2.18</t>
  </si>
  <si>
    <t>K2.19</t>
  </si>
  <si>
    <t>K2.20</t>
  </si>
  <si>
    <t>K2.21</t>
  </si>
  <si>
    <t>K2.22</t>
  </si>
  <si>
    <t>K3</t>
  </si>
  <si>
    <t>公共項，消防系統項目</t>
  </si>
  <si>
    <r>
      <rPr>
        <sz val="10"/>
        <rFont val="微軟正黑體"/>
        <family val="2"/>
      </rPr>
      <t>K</t>
    </r>
    <r>
      <rPr>
        <sz val="10"/>
        <rFont val="微軟正黑體"/>
        <family val="2"/>
      </rPr>
      <t>3.1</t>
    </r>
  </si>
  <si>
    <r>
      <rPr>
        <sz val="10"/>
        <rFont val="微軟正黑體"/>
        <family val="2"/>
      </rPr>
      <t>K</t>
    </r>
    <r>
      <rPr>
        <sz val="10"/>
        <rFont val="微軟正黑體"/>
        <family val="2"/>
      </rPr>
      <t>3.2</t>
    </r>
  </si>
  <si>
    <r>
      <rPr>
        <sz val="10"/>
        <rFont val="微軟正黑體"/>
        <family val="2"/>
      </rPr>
      <t>K</t>
    </r>
    <r>
      <rPr>
        <sz val="10"/>
        <rFont val="微軟正黑體"/>
        <family val="2"/>
      </rPr>
      <t>3.3</t>
    </r>
  </si>
  <si>
    <r>
      <rPr>
        <sz val="10"/>
        <rFont val="微軟正黑體"/>
        <family val="2"/>
      </rPr>
      <t>K</t>
    </r>
    <r>
      <rPr>
        <sz val="10"/>
        <rFont val="微軟正黑體"/>
        <family val="2"/>
      </rPr>
      <t>3.4</t>
    </r>
  </si>
  <si>
    <t>K3.5</t>
  </si>
  <si>
    <t>竣工消防圖則</t>
  </si>
  <si>
    <r>
      <rPr>
        <b/>
        <sz val="10"/>
        <rFont val="微軟正黑體"/>
        <family val="2"/>
      </rPr>
      <t>第十</t>
    </r>
    <r>
      <rPr>
        <b/>
        <sz val="10"/>
        <rFont val="宋体"/>
      </rPr>
      <t>二</t>
    </r>
    <r>
      <rPr>
        <b/>
        <sz val="10"/>
        <rFont val="微軟正黑體"/>
        <family val="2"/>
      </rPr>
      <t xml:space="preserve">章  </t>
    </r>
    <r>
      <rPr>
        <u/>
        <sz val="10"/>
        <rFont val="Times New Roman"/>
        <family val="1"/>
      </rPr>
      <t> </t>
    </r>
    <r>
      <rPr>
        <b/>
        <u/>
        <sz val="10"/>
        <rFont val="微軟正黑體"/>
        <family val="2"/>
      </rPr>
      <t>消防系統項目</t>
    </r>
    <r>
      <rPr>
        <b/>
        <sz val="10"/>
        <rFont val="微軟正黑體"/>
        <family val="2"/>
      </rPr>
      <t xml:space="preserve"> 合計金額: (澳門幣)</t>
    </r>
  </si>
  <si>
    <t>H3</t>
    <phoneticPr fontId="35" type="noConversion"/>
  </si>
  <si>
    <t>22 樓AND20 樓VRV 系統</t>
    <phoneticPr fontId="35" type="noConversion"/>
  </si>
  <si>
    <t>H3.1</t>
    <phoneticPr fontId="35" type="noConversion"/>
  </si>
  <si>
    <t>台</t>
    <phoneticPr fontId="36" type="noConversion"/>
  </si>
  <si>
    <t>H3.2</t>
    <phoneticPr fontId="35" type="noConversion"/>
  </si>
  <si>
    <t>H3.2.1</t>
    <phoneticPr fontId="35" type="noConversion"/>
  </si>
  <si>
    <t>H3.2.2</t>
  </si>
  <si>
    <t>H3.2.3</t>
  </si>
  <si>
    <t>H3.2.4</t>
  </si>
  <si>
    <t>H3.3</t>
    <phoneticPr fontId="35" type="noConversion"/>
  </si>
  <si>
    <t>H3.4</t>
    <phoneticPr fontId="35" type="noConversion"/>
  </si>
  <si>
    <t>組</t>
    <phoneticPr fontId="36" type="noConversion"/>
  </si>
  <si>
    <t>H3.5</t>
    <phoneticPr fontId="35" type="noConversion"/>
  </si>
  <si>
    <t>H3.6</t>
    <phoneticPr fontId="35" type="noConversion"/>
  </si>
  <si>
    <t>H3.7</t>
    <phoneticPr fontId="35" type="noConversion"/>
  </si>
  <si>
    <t>H3.8</t>
    <phoneticPr fontId="35" type="noConversion"/>
  </si>
  <si>
    <t>H3.9</t>
    <phoneticPr fontId="35" type="noConversion"/>
  </si>
  <si>
    <t>提供及安裝導風管及鋁質線條型出風咀及回風咀，鋁質濾塵網等。</t>
    <phoneticPr fontId="36" type="noConversion"/>
  </si>
  <si>
    <t>H3.10</t>
    <phoneticPr fontId="35" type="noConversion"/>
  </si>
  <si>
    <t>H3.11</t>
    <phoneticPr fontId="35" type="noConversion"/>
  </si>
  <si>
    <t>H3.12</t>
    <phoneticPr fontId="35" type="noConversion"/>
  </si>
  <si>
    <r>
      <t>1</t>
    </r>
    <r>
      <rPr>
        <sz val="10"/>
        <rFont val="微軟正黑體"/>
        <family val="2"/>
      </rPr>
      <t>2</t>
    </r>
    <r>
      <rPr>
        <sz val="10"/>
        <rFont val="微軟正黑體"/>
        <family val="2"/>
      </rPr>
      <t>0 mm雙層厚石膏板隔牆連</t>
    </r>
    <r>
      <rPr>
        <sz val="10"/>
        <rFont val="微軟正黑體"/>
        <family val="2"/>
      </rPr>
      <t>ROCKWOOL 隔音綿</t>
    </r>
    <r>
      <rPr>
        <sz val="10"/>
        <rFont val="微軟正黑體"/>
        <family val="2"/>
      </rPr>
      <t>。（20層）</t>
    </r>
    <phoneticPr fontId="34" type="noConversion"/>
  </si>
  <si>
    <r>
      <t>12</t>
    </r>
    <r>
      <rPr>
        <sz val="10"/>
        <rFont val="微軟正黑體"/>
        <family val="2"/>
      </rPr>
      <t>0 mm雙層厚石膏板隔牆連</t>
    </r>
    <r>
      <rPr>
        <sz val="10"/>
        <rFont val="微軟正黑體"/>
        <family val="2"/>
      </rPr>
      <t>ROCKWOOL 隔音綿</t>
    </r>
    <r>
      <rPr>
        <sz val="10"/>
        <rFont val="微軟正黑體"/>
        <family val="2"/>
      </rPr>
      <t>。（2</t>
    </r>
    <r>
      <rPr>
        <sz val="10"/>
        <rFont val="微軟正黑體"/>
        <family val="2"/>
      </rPr>
      <t>2</t>
    </r>
    <r>
      <rPr>
        <sz val="10"/>
        <rFont val="微軟正黑體"/>
        <family val="2"/>
      </rPr>
      <t>層）</t>
    </r>
    <phoneticPr fontId="34" type="noConversion"/>
  </si>
  <si>
    <t>工程量清雙</t>
  </si>
  <si>
    <t>雙位</t>
  </si>
  <si>
    <t>雙價
(澳門幣)</t>
  </si>
  <si>
    <t>設計、供應及安裝以下雙層石膏板面乳膠漆(白色);按圖紙及技術規範要求(或認可之同級材料)，包括供應及安裝輕鋼龍骨架連雙層12m厚雙層石膏板，拼缝處用嵌缝腻子塞滿，在拼缝上用乳液黏贴一層纸带，黏貼時應把紙帶拉直，並刮上一道腻子;於雙層石膏板天花面上抺上2mm厚環保腻子灰(粗灰)，再抺上一層腻子灰(細灰)使用砂紙打磨至平整光滑，在其上先塗油一層底漆(多樂士DULUX淨味底漆同等或優於)，再塗油兩層面漆(多樂士DULUX金装升级抗甲醛倍遮全效牆面漆同等或優於)。需包括填縫紙、PVC陰陽角條、金屬吊架、吊桿、鋁角及固螺絲等所有配件，並按生產商之規範及要求施工，需包括所有配件等所需的一切工序
(量度方法：只計算天花平面面積)
(量度方法：只計算天花平面面積)</t>
  </si>
  <si>
    <t>設計、供應及安裝以下石膏板面乳膠漆(白色);按圖紙及技術規範要求(或認可之同級材料)，包括供應及安裝輕鋼龍骨架連雙層12m厚石膏板，拼缝處用嵌缝腻子塞滿，在拼缝上用乳液黏贴一層纸带，黏貼時應把紙帶拉直，並刮上一道腻子;於石膏板天花面上抺上2mm厚環保腻子灰(粗灰)，再抺上一層腻子灰(細灰)使用砂紙打磨至平整光滑，在其上先塗油一層底漆(多樂士DULUX淨味底漆同等或優於)，再塗油兩層面漆(多樂士DULUX金装升级抗甲醛倍遮全效牆面漆同等或優於)。需包括填縫紙、PVC陰陽角條、金屬吊架、吊桿、鋁角及固螺絲等所有配件，並按生產商之規範及要求施工，需包括所有配件等所需的一切工序
(量度方法：只計算天花平面面積)</t>
  </si>
  <si>
    <t>設計、供應及安裝以下雙層石膏板面乳膠漆(白色);按圖紙及技術規範要求(或認可之同級材料)，包括供應及安裝輕鋼龍骨架連雙層12m厚雙層石膏板，拼缝處用嵌缝腻子塞滿，在拼缝上用乳液黏贴一層纸带，黏貼時應把紙帶拉直，並刮上一道腻子;於雙層石膏板天花面上抺上2mm厚環保腻子灰(粗灰)，再抺上一層腻子灰(細灰)使用砂紙打磨至平整光滑，在其上先塗油一層底漆(多樂士DULUX淨味底漆同等或優於)，再塗油兩層面漆(多樂士DULUX金装升级抗甲醛倍遮全效牆面漆同等或優於)。需包括填縫紙、PVC陰陽角條、金屬吊架、吊桿、鋁角及固螺絲等所有配件，並按生產商之規範及要求施工，需包括所有配件等所需的一切工序
(量度方法：只計算天花平面面積)</t>
  </si>
  <si>
    <t>設計、供應及安裝雙層石膏板面乳膠漆(白色)，包含造型天花、燈槽、不鏽鋼收口條等;按圖紙及技術規範要求(或認可之同級材料)，包括供應及安裝輕鋼龍骨架連雙層12m厚雙層石膏板，拼缝處用嵌缝腻子塞滿，在拼缝上用乳液黏贴一層纸带，黏貼時應把紙帶拉直，並刮上一道腻子;於雙層石膏板天花面上抺上2mm厚環保腻子灰(粗灰)，再抺上一層腻子灰(細灰)使用砂紙打磨至平整光滑，在其上先塗油一層底漆(多樂士DULUX淨味底漆同等或優於)，再塗油兩層面漆(多樂士DULUX金装升级抗甲醛倍遮全效牆面漆同等或優於)。需包括填縫紙、PVC陰陽角條、金屬吊架、吊桿、鋁角及固螺絲等所有配件，並按生產商之規範及要求施工，需包括所有配件等所需的一切工序，詳見效果圖；
(量度方法：只計算天花平面面積)</t>
  </si>
  <si>
    <t>於天花位置，提供及安裝鋁扣板及雙層石膏板假天花吊頂（包含乳膠漆），連跌級吊頂及燈槽，包括所需之材料及一切工序。
(量度方法：只計算天花平面面積)</t>
  </si>
  <si>
    <r>
      <t>供應及安裝牆身</t>
    </r>
    <r>
      <rPr>
        <sz val="10"/>
        <rFont val="微軟正黑體"/>
        <family val="2"/>
      </rPr>
      <t>，按技術規範要求及材料表(或認可之同級材料)，包括但不限於底層材料、批蕩、水泥砌漿等所需的一切工序，進行必要深化，並提交必要效果圖、施工圖等進行審核；</t>
    </r>
    <phoneticPr fontId="34" type="noConversion"/>
  </si>
  <si>
    <t>於22層，女廁牆身磚及地磚</t>
    <phoneticPr fontId="34" type="noConversion"/>
  </si>
  <si>
    <t>於22層，男廁牆身磚及地磚</t>
    <phoneticPr fontId="34" type="noConversion"/>
  </si>
  <si>
    <r>
      <rPr>
        <sz val="10"/>
        <rFont val="微軟正黑體"/>
        <family val="2"/>
      </rPr>
      <t>E1-04</t>
    </r>
    <r>
      <rPr>
        <sz val="10"/>
        <rFont val="微軟正黑體"/>
        <family val="2"/>
      </rPr>
      <t>立面A，設計，供應及安裝</t>
    </r>
    <r>
      <rPr>
        <b/>
        <sz val="10"/>
        <rFont val="微軟正黑體"/>
        <family val="2"/>
      </rPr>
      <t>墻布</t>
    </r>
    <r>
      <rPr>
        <sz val="10"/>
        <rFont val="微軟正黑體"/>
        <family val="2"/>
      </rPr>
      <t xml:space="preserve">
按圖紙及技術規範要求包括但不限於膩子找平、墻紙基膜、踢腳線木基層、切口、修口、收邊等所需的一切材料及工序（詳見效果圖）
(量度方法：只計算墻身平面面積)</t>
    </r>
    <phoneticPr fontId="34" type="noConversion"/>
  </si>
  <si>
    <t>E1-04立面A，設計，供應及安裝不鏽鋼踢腳線
按圖紙及技術規範要求包括但不限於木基層、切口、修口、收邊等所需的一切材料及工序</t>
    <phoneticPr fontId="34" type="noConversion"/>
  </si>
  <si>
    <r>
      <rPr>
        <sz val="10"/>
        <rFont val="微軟正黑體"/>
        <family val="2"/>
      </rPr>
      <t>E1-04</t>
    </r>
    <r>
      <rPr>
        <sz val="10"/>
        <rFont val="微軟正黑體"/>
        <family val="2"/>
      </rPr>
      <t>立面B，設計，供應及安裝</t>
    </r>
    <r>
      <rPr>
        <b/>
        <sz val="10"/>
        <rFont val="微軟正黑體"/>
        <family val="2"/>
      </rPr>
      <t>墻布</t>
    </r>
    <r>
      <rPr>
        <sz val="10"/>
        <rFont val="微軟正黑體"/>
        <family val="2"/>
      </rPr>
      <t xml:space="preserve">
按圖紙及技術規範要求包括但不限於膩子找平、墻紙基膜、踢腳線木基層、切口、修口、收邊等所需的一切材料及工序（詳見效果圖）
(量度方法：只計算墻身平面面積)</t>
    </r>
    <phoneticPr fontId="34" type="noConversion"/>
  </si>
  <si>
    <t>E1-04立面B，設計，供應及安裝不鏽鋼踢腳線
按圖紙及技術規範要求包括但不限於木基層、切口、修口、收邊等所需的一切材料及工序</t>
    <phoneticPr fontId="34" type="noConversion"/>
  </si>
  <si>
    <r>
      <rPr>
        <sz val="10"/>
        <rFont val="微軟正黑體"/>
        <family val="2"/>
      </rPr>
      <t>E1-04</t>
    </r>
    <r>
      <rPr>
        <sz val="10"/>
        <rFont val="微軟正黑體"/>
        <family val="2"/>
      </rPr>
      <t>立面C，設計，供應及安裝</t>
    </r>
    <r>
      <rPr>
        <b/>
        <sz val="10"/>
        <rFont val="微軟正黑體"/>
        <family val="2"/>
      </rPr>
      <t>墻布</t>
    </r>
    <r>
      <rPr>
        <sz val="10"/>
        <rFont val="微軟正黑體"/>
        <family val="2"/>
      </rPr>
      <t xml:space="preserve">
按圖紙及技術規範要求包括但不限於膩子找平、墻紙基膜、踢腳線木基層、切口、修口、收邊等所需的一切材料及工序（詳見效果圖）
(量度方法：只計算墻身平面面積)</t>
    </r>
    <phoneticPr fontId="34" type="noConversion"/>
  </si>
  <si>
    <t>E1-04立面C，設計，供應及安裝不鏽鋼踢腳線
按圖紙及技術規範要求包括但不限於木基層、切口、修口、收邊等所需的一切材料及工序</t>
    <phoneticPr fontId="34" type="noConversion"/>
  </si>
  <si>
    <r>
      <rPr>
        <sz val="10"/>
        <rFont val="微軟正黑體"/>
        <family val="2"/>
      </rPr>
      <t>E1-04</t>
    </r>
    <r>
      <rPr>
        <sz val="10"/>
        <rFont val="微軟正黑體"/>
        <family val="2"/>
      </rPr>
      <t>立面D，設計，供應及安裝</t>
    </r>
    <r>
      <rPr>
        <b/>
        <sz val="10"/>
        <rFont val="微軟正黑體"/>
        <family val="2"/>
      </rPr>
      <t>墻布</t>
    </r>
    <r>
      <rPr>
        <sz val="10"/>
        <rFont val="微軟正黑體"/>
        <family val="2"/>
      </rPr>
      <t xml:space="preserve">
按圖紙及技術規範要求包括但不限於膩子找平、墻紙基膜、踢腳線木基層、切口、修口、收邊等所需的一切材料及工序（詳見效果圖）
(量度方法：只計算墻身平面面積)</t>
    </r>
    <phoneticPr fontId="34" type="noConversion"/>
  </si>
  <si>
    <t>E1-04立面D，設計，供應及安裝不鏽鋼踢腳線
按圖紙及技術規範要求包括但不限於木基層、切口、修口、收邊等所需的一切材料及工序</t>
    <phoneticPr fontId="34" type="noConversion"/>
  </si>
  <si>
    <t>E1-04立面E（結構包柱），設計，供應及安裝藝術玻璃
按圖紙及技術規範要求包括但不限於墻身基層、輕鋼龍骨、阻燃夾板、切口、修口、收邊等所需的一切材料及工序（詳見效果圖P8）
(量度方法：只計算墻身平面面積)</t>
    <phoneticPr fontId="34" type="noConversion"/>
  </si>
  <si>
    <t>E1-04立面E（結構包柱），設計，供應及安裝不鏽鋼踢腳線
按圖紙及技術規範要求包括但不限於木基層、切口、修口、收邊等所需的一切材料及工序</t>
    <phoneticPr fontId="34" type="noConversion"/>
  </si>
  <si>
    <t>E1-06立面A設計，供應及安裝墻身木飾面；
按圖紙及技術規範要求包括但不限於墻身基層龍骨調平、阻燃夾板、切口、修口、收邊等所需的一切材料及工序（詳見效果圖P11）
(量度方法：只計算墻身平面面積)</t>
    <phoneticPr fontId="34" type="noConversion"/>
  </si>
  <si>
    <t>E1-06立面A設計，供應及安裝木飾面踢腳線
按圖紙及技術規範要求包括但不限於木基層、切口、修口、收邊等所需的一切材料及工序</t>
    <phoneticPr fontId="34" type="noConversion"/>
  </si>
  <si>
    <t>E1-06立面B設計，供應及安裝墻身木飾面；
按圖紙及技術規範要求包括但不限於墻身基層龍骨調平、阻燃夾板、切口、修口、收邊等所需的一切材料及工序（詳見效果圖P11）
(量度方法：只計算墻身平面面積)</t>
    <phoneticPr fontId="34" type="noConversion"/>
  </si>
  <si>
    <t>E1-06立面B設計，供應及安裝木飾面踢腳線
按圖紙及技術規範要求包括但不限於木基層、切口、修口、收邊等所需的一切材料及工序</t>
    <phoneticPr fontId="34" type="noConversion"/>
  </si>
  <si>
    <t>E1-06立面C設計，供應及安裝墻身木飾面；
按圖紙及技術規範要求包括但不限於墻身基層龍骨調平、阻燃夾板、切口、修口、收邊等所需的一切材料及工序（詳見效果圖P11）
(量度方法：只計算墻身平面面積)</t>
    <phoneticPr fontId="34" type="noConversion"/>
  </si>
  <si>
    <t>E1-06立面C設計，供應及安裝木飾面踢腳線
按圖紙及技術規範要求包括但不限於木基層、切口、修口、收邊等所需的一切材料及工序</t>
    <phoneticPr fontId="34" type="noConversion"/>
  </si>
  <si>
    <t>E1-06立面D設計，供應及安裝墻身木飾面；
按圖紙及技術規範要求包括但不限於墻身基層龍骨調平、阻燃夾板、切口、修口、收邊等所需的一切材料及工序（詳見效果圖P11）
(量度方法：只計算墻身平面面積)</t>
    <phoneticPr fontId="34" type="noConversion"/>
  </si>
  <si>
    <t>E1-06立面D（近檔案室5）設計，供應及安裝木飾面踢腳線
按圖紙及技術規範要求包括但不限於木基層、切口、修口、收邊等所需的一切材料及工序</t>
    <phoneticPr fontId="34" type="noConversion"/>
  </si>
  <si>
    <t>E1-02立面A，設計，供應及安裝墻身系統（木飾面、金屬分隔條、亞克力反光燈槽）
按圖紙及技術規範要求包括但不限於墻身基層龍骨調平、阻燃夾板、切口、修口、收邊等所需的一切材料及工序（詳見效果圖P6&amp;7）
(量度方法：只計算墻身平面面積)</t>
    <phoneticPr fontId="34" type="noConversion"/>
  </si>
  <si>
    <t>E1-02立面A，設計，供應及安裝不鏽鋼踢腳線
按圖紙及技術規範要求包括但不限於木基層、切口、修口、收邊等所需的一切材料及工序</t>
    <phoneticPr fontId="34" type="noConversion"/>
  </si>
  <si>
    <t>E1-02立面B，設計，供應及安裝墻身系統（木飾面、金屬分隔條、亞克力反光燈槽）
按圖紙及技術規範要求包括但不限於墻身基層龍骨調平、阻燃夾板、切口、修口、收邊等所需的一切材料及工序（詳見效果圖P6&amp;7）
(量度方法：只計算墻身平面面積)</t>
    <phoneticPr fontId="34" type="noConversion"/>
  </si>
  <si>
    <t>E1-02立面B，設計，供應及安裝不鏽鋼踢腳線
按圖紙及技術規範要求包括但不限於木基層、切口、修口、收邊等所需的一切材料及工序</t>
    <phoneticPr fontId="34" type="noConversion"/>
  </si>
  <si>
    <t>E1-02立面C，設計，供應及安裝墻身系統（木飾面、金屬分隔條、亞克力反光燈槽）
按圖紙及技術規範要求包括但不限於墻身基層龍骨調平、阻燃夾板、切口、修口、收邊等所需的一切材料及工序（詳見效果圖P6&amp;7）
(量度方法：只計算墻身平面面積)</t>
    <phoneticPr fontId="34" type="noConversion"/>
  </si>
  <si>
    <t>E1-02立面C，設計，供應及安裝不鏽鋼踢腳線
按圖紙及技術規範要求包括但不限於木基層、切口、修口、收邊等所需的一切材料及工序</t>
    <phoneticPr fontId="34" type="noConversion"/>
  </si>
  <si>
    <t>E1-02立面D，設計，供應及安裝墻身系統（木飾面、金屬分隔條、亞克力反光燈槽）
按圖紙及技術規範要求包括但不限於墻身基層龍骨調平、阻燃夾板、切口、修口、收邊等所需的一切材料及工序（詳見效果圖P6&amp;7）
(量度方法：只計算墻身平面面積)</t>
    <phoneticPr fontId="34" type="noConversion"/>
  </si>
  <si>
    <t>E1-02立面D，設計，供應及安裝不鏽鋼踢腳線
按圖紙及技術規範要求包括但不限於木基層、切口、修口、收邊等所需的一切材料及工序</t>
    <phoneticPr fontId="34" type="noConversion"/>
  </si>
  <si>
    <t>E1-02立面E（結構包圓形柱），設計，供應及安裝墻身系統（藝術玻璃、亞克力反光燈槽）
按圖紙及技術規範要求包括但不限於墻身基層龍骨調平、阻燃夾板、切口、修口、收邊等所需的一切材料及工序（詳見效果圖P6&amp;7）
(量度方法：只計算墻身平面面積)</t>
  </si>
  <si>
    <t>E1-02立面E（結構包圓形柱），設計，供應及安裝不鏽鋼踢腳線
按圖紙及技術規範要求包括但不限於木基層、切口、修口、收邊等所需的一切材料及工序</t>
    <phoneticPr fontId="34" type="noConversion"/>
  </si>
  <si>
    <r>
      <rPr>
        <sz val="10"/>
        <rFont val="微軟正黑體"/>
        <family val="2"/>
      </rPr>
      <t>E1-03</t>
    </r>
    <r>
      <rPr>
        <sz val="10"/>
        <rFont val="微軟正黑體"/>
        <family val="2"/>
      </rPr>
      <t>立面A（近客服區），設計，供應及安裝墻身</t>
    </r>
    <r>
      <rPr>
        <b/>
        <sz val="10"/>
        <rFont val="微軟正黑體"/>
        <family val="2"/>
      </rPr>
      <t>木飾面</t>
    </r>
    <r>
      <rPr>
        <sz val="10"/>
        <rFont val="微軟正黑體"/>
        <family val="2"/>
      </rPr>
      <t>；
按圖紙及技術規範要求包括但不限於墻身基層、鍍鋅鋼骨架、切口、修口、收邊等所需的一切材料及工序（詳見效果圖P10）
(量度方法：只計算墻身平面面積)</t>
    </r>
    <phoneticPr fontId="34" type="noConversion"/>
  </si>
  <si>
    <t>E1-03立面A（近客服區），設計，供應及安裝不鏽鋼踢腳線
按圖紙及技術規範要求包括但不限於木基層、切口、修口、收邊等所需的一切材料及工序</t>
    <phoneticPr fontId="34" type="noConversion"/>
  </si>
  <si>
    <r>
      <rPr>
        <sz val="10"/>
        <rFont val="微軟正黑體"/>
        <family val="2"/>
      </rPr>
      <t>E1-03</t>
    </r>
    <r>
      <rPr>
        <sz val="10"/>
        <rFont val="微軟正黑體"/>
        <family val="2"/>
      </rPr>
      <t>立面B（近收納間），設計，供應及安裝墻身</t>
    </r>
    <r>
      <rPr>
        <b/>
        <sz val="10"/>
        <rFont val="微軟正黑體"/>
        <family val="2"/>
      </rPr>
      <t>木飾面</t>
    </r>
    <r>
      <rPr>
        <sz val="10"/>
        <rFont val="微軟正黑體"/>
        <family val="2"/>
      </rPr>
      <t>；
按圖紙及技術規範要求包括但不限於墻身基層、鍍鋅鋼骨架、切口、修口、收邊等所需的一切材料及工序（詳見效果圖P10）
(量度方法：只計算墻身平面面積)</t>
    </r>
    <phoneticPr fontId="34" type="noConversion"/>
  </si>
  <si>
    <t>E1-03立面B（近收納間），設計，供應及安裝不鏽鋼踢腳線
按圖紙及技術規範要求包括但不限於木基層、切口、修口、收邊等所需的一切材料及工序</t>
    <phoneticPr fontId="34" type="noConversion"/>
  </si>
  <si>
    <r>
      <t>E1-03立面C（近冷氣機房幕墻），設計，供應及安裝墻身</t>
    </r>
    <r>
      <rPr>
        <b/>
        <sz val="10"/>
        <rFont val="微軟正黑體"/>
        <family val="2"/>
      </rPr>
      <t>木飾面</t>
    </r>
    <r>
      <rPr>
        <sz val="10"/>
        <rFont val="微軟正黑體"/>
        <family val="2"/>
      </rPr>
      <t>；
按圖紙及技術規範要求包括但不限於墻身基層、鍍鋅鋼骨架、切口、修口、收邊等所需的一切材料及工序（詳見效果圖P10）
(量度方法：只計算墻身平面面積)</t>
    </r>
    <phoneticPr fontId="34" type="noConversion"/>
  </si>
  <si>
    <t>E1-03立面C（近冷氣機房幕墻），設計，供應及安裝不鏽鋼踢腳線
按圖紙及技術規範要求包括但不限於木基層、切口、修口、收邊等所需的一切材料及工序</t>
    <phoneticPr fontId="34" type="noConversion"/>
  </si>
  <si>
    <r>
      <rPr>
        <sz val="10"/>
        <rFont val="微軟正黑體"/>
        <family val="2"/>
      </rPr>
      <t>E1-03</t>
    </r>
    <r>
      <rPr>
        <sz val="10"/>
        <rFont val="微軟正黑體"/>
        <family val="2"/>
      </rPr>
      <t>立面D（近康體中心幕墻），設計，供應及安裝墻身</t>
    </r>
    <r>
      <rPr>
        <b/>
        <sz val="10"/>
        <rFont val="微軟正黑體"/>
        <family val="2"/>
      </rPr>
      <t>木飾面</t>
    </r>
    <r>
      <rPr>
        <sz val="10"/>
        <rFont val="微軟正黑體"/>
        <family val="2"/>
      </rPr>
      <t>；
按圖紙及技術規範要求包括但不限於墻身基層、鍍鋅鋼骨架、切口、修口、收邊等所需的一切材料及工序（詳見效果圖P10）
(量度方法：只計算墻身平面面積)</t>
    </r>
    <phoneticPr fontId="34" type="noConversion"/>
  </si>
  <si>
    <t>E1-03立面D（近康體中心幕墻），設計，供應及安裝不鏽鋼踢腳線
按圖紙及技術規範要求包括但不限於木基層、切口、修口、收邊等所需的一切材料及工序</t>
    <phoneticPr fontId="34" type="noConversion"/>
  </si>
  <si>
    <r>
      <rPr>
        <sz val="10"/>
        <rFont val="微軟正黑體"/>
        <family val="2"/>
      </rPr>
      <t>E1-03</t>
    </r>
    <r>
      <rPr>
        <sz val="10"/>
        <rFont val="微軟正黑體"/>
        <family val="2"/>
      </rPr>
      <t>立面E（結構包柱），設計，供應及安裝墻身</t>
    </r>
    <r>
      <rPr>
        <b/>
        <sz val="10"/>
        <rFont val="微軟正黑體"/>
        <family val="2"/>
      </rPr>
      <t>木飾面</t>
    </r>
    <r>
      <rPr>
        <sz val="10"/>
        <rFont val="微軟正黑體"/>
        <family val="2"/>
      </rPr>
      <t>；
按圖紙及技術規範要求包括但不限於墻身基層、鍍鋅鋼骨架、切口、修口、收邊等所需的一切材料及工序（詳見效果圖P10）
(量度方法：只計算墻身平面面積)</t>
    </r>
    <phoneticPr fontId="34" type="noConversion"/>
  </si>
  <si>
    <t>E1-03立面E（結構包柱），設計，供應及安裝不鏽鋼踢腳線
按圖紙及技術規範要求包括但不限於木基層、切口、修口、收邊等所需的一切材料及工序</t>
    <phoneticPr fontId="34" type="noConversion"/>
  </si>
  <si>
    <r>
      <rPr>
        <sz val="10"/>
        <rFont val="微軟正黑體"/>
        <family val="2"/>
      </rPr>
      <t>E1-05</t>
    </r>
    <r>
      <rPr>
        <sz val="10"/>
        <rFont val="微軟正黑體"/>
        <family val="2"/>
      </rPr>
      <t>立面A，設計，供應及安裝墻身系統（</t>
    </r>
    <r>
      <rPr>
        <b/>
        <sz val="10"/>
        <rFont val="微軟正黑體"/>
        <family val="2"/>
      </rPr>
      <t>木飾面</t>
    </r>
    <r>
      <rPr>
        <sz val="10"/>
        <rFont val="微軟正黑體"/>
        <family val="2"/>
      </rPr>
      <t>、金屬分隔條、亞克力反光燈槽）
按圖紙及技術規範要求包括但不限於墻身基層、鍍鋅鋼骨架、切口、修口、收邊等所需的一切材料及工序（詳見效果圖P10）
(量度方法：只計算墻身平面面積)</t>
    </r>
    <phoneticPr fontId="34" type="noConversion"/>
  </si>
  <si>
    <t>E1-05立面A，設計，供應及安裝不鏽鋼踢腳線
按圖紙及技術規範要求包括但不限於木基層、切口、修口、收邊等所需的一切材料及工序</t>
    <phoneticPr fontId="34" type="noConversion"/>
  </si>
  <si>
    <r>
      <rPr>
        <sz val="10"/>
        <rFont val="微軟正黑體"/>
        <family val="2"/>
      </rPr>
      <t>E1-05</t>
    </r>
    <r>
      <rPr>
        <sz val="10"/>
        <rFont val="微軟正黑體"/>
        <family val="2"/>
      </rPr>
      <t>立面B，設計，供應及安裝墻身系統（</t>
    </r>
    <r>
      <rPr>
        <b/>
        <sz val="10"/>
        <rFont val="微軟正黑體"/>
        <family val="2"/>
      </rPr>
      <t>木飾面</t>
    </r>
    <r>
      <rPr>
        <sz val="10"/>
        <rFont val="微軟正黑體"/>
        <family val="2"/>
      </rPr>
      <t>、金屬分隔條、亞克力反光燈槽）
按圖紙及技術規範要求包括但不限於墻身基層、鍍鋅鋼骨架、切口、修口、收邊等所需的一切材料及工序（詳見效果圖P10）
(量度方法：只計算墻身平面面積)</t>
    </r>
    <phoneticPr fontId="34" type="noConversion"/>
  </si>
  <si>
    <t>E1-05立面B，設計，供應及安裝不鏽鋼踢腳線
按圖紙及技術規範要求包括但不限於木基層、切口、修口、收邊等所需的一切材料及工序</t>
    <phoneticPr fontId="34" type="noConversion"/>
  </si>
  <si>
    <r>
      <rPr>
        <sz val="10"/>
        <rFont val="微軟正黑體"/>
        <family val="2"/>
      </rPr>
      <t>E1-05</t>
    </r>
    <r>
      <rPr>
        <sz val="10"/>
        <rFont val="微軟正黑體"/>
        <family val="2"/>
      </rPr>
      <t>立面C，設計，供應及安裝墻身系統（</t>
    </r>
    <r>
      <rPr>
        <b/>
        <sz val="10"/>
        <rFont val="微軟正黑體"/>
        <family val="2"/>
      </rPr>
      <t>木飾面</t>
    </r>
    <r>
      <rPr>
        <sz val="10"/>
        <rFont val="微軟正黑體"/>
        <family val="2"/>
      </rPr>
      <t>、金屬分隔條、亞克力反光燈槽）
按圖紙及技術規範要求包括但不限於墻身基層、鍍鋅鋼骨架、切口、修口、收邊等所需的一切材料及工序（詳見效果圖P10）
(量度方法：只計算墻身平面面積)</t>
    </r>
    <phoneticPr fontId="34" type="noConversion"/>
  </si>
  <si>
    <t>E1-05立面C，設計，供應及安裝不鏽鋼踢腳線
按圖紙及技術規範要求包括但不限於木基層、切口、修口、收邊等所需的一切材料及工序</t>
    <phoneticPr fontId="34" type="noConversion"/>
  </si>
  <si>
    <r>
      <rPr>
        <sz val="10"/>
        <rFont val="微軟正黑體"/>
        <family val="2"/>
      </rPr>
      <t>E1-05</t>
    </r>
    <r>
      <rPr>
        <sz val="10"/>
        <rFont val="微軟正黑體"/>
        <family val="2"/>
      </rPr>
      <t>立面D，設計，供應及安裝墻身系統（</t>
    </r>
    <r>
      <rPr>
        <b/>
        <sz val="10"/>
        <rFont val="微軟正黑體"/>
        <family val="2"/>
      </rPr>
      <t>木飾面</t>
    </r>
    <r>
      <rPr>
        <sz val="10"/>
        <rFont val="微軟正黑體"/>
        <family val="2"/>
      </rPr>
      <t>、金屬分隔條、亞克力反光燈槽）
按圖紙及技術規範要求包括但不限於墻身基層、鍍鋅鋼骨架、切口、修口、收邊等所需的一切材料及工序（詳見效果圖P10）
(量度方法：只計算墻身平面面積)</t>
    </r>
    <phoneticPr fontId="34" type="noConversion"/>
  </si>
  <si>
    <t>E1-05立面D，設計，供應及安裝不鏽鋼踢腳線
按圖紙及技術規範要求包括但不限於木基層、切口、修口、收邊等所需的一切材料及工序</t>
    <phoneticPr fontId="34" type="noConversion"/>
  </si>
  <si>
    <t>E1-01立面A，設計，供應及安裝墻身系統（木飾面、金屬分隔條）
按圖紙及技術規範要求包括但不限於墻身基層、鍍鋅鋼骨架、切口、修口、收邊等所需的一切材料及工序（詳見效果圖P10）
(量度方法：只計算墻身平面面積)</t>
    <phoneticPr fontId="34" type="noConversion"/>
  </si>
  <si>
    <t>E1-01立面A，設計，供應及安裝不鏽鋼踢腳線
按圖紙及技術規範要求包括但不限於木基層、切口、修口、收邊等所需的一切材料及工序</t>
    <phoneticPr fontId="34" type="noConversion"/>
  </si>
  <si>
    <t>E1-01立面B，設計，供應及安裝墻身系統（木飾面、金屬分隔條）
按圖紙及技術規範要求包括但不限於墻身基層、鍍鋅鋼骨架、切口、修口、收邊等所需的一切材料及工序（詳見效果圖P10）
(量度方法：只計算墻身平面面積)</t>
    <phoneticPr fontId="34" type="noConversion"/>
  </si>
  <si>
    <t>E1-01立面B，設計，供應及安裝不鏽鋼踢腳線
按圖紙及技術規範要求包括但不限於木基層、切口、修口、收邊等所需的一切材料及工序</t>
    <phoneticPr fontId="34" type="noConversion"/>
  </si>
  <si>
    <t>E1-01立面C，設計，供應及安裝墻身系統（木飾面、金屬分隔條）
按圖紙及技術規範要求包括但不限於墻身基層、鍍鋅鋼骨架、切口、修口、收邊等所需的一切材料及工序（詳見效果圖P10）
(量度方法：只計算墻身平面面積)</t>
    <phoneticPr fontId="34" type="noConversion"/>
  </si>
  <si>
    <t>E1-01立面C，設計，供應及安裝不鏽鋼踢腳線
按圖紙及技術規範要求包括但不限於木基層、切口、修口、收邊等所需的一切材料及工序</t>
    <phoneticPr fontId="34" type="noConversion"/>
  </si>
  <si>
    <r>
      <t>於20層，女廁</t>
    </r>
    <r>
      <rPr>
        <sz val="10"/>
        <rFont val="微軟正黑體"/>
        <family val="2"/>
      </rPr>
      <t xml:space="preserve"> </t>
    </r>
    <phoneticPr fontId="34" type="noConversion"/>
  </si>
  <si>
    <r>
      <t>設計，供應及安裝墻身系統</t>
    </r>
    <r>
      <rPr>
        <sz val="10"/>
        <rFont val="微軟正黑體"/>
        <family val="2"/>
      </rPr>
      <t>E2-04</t>
    </r>
    <r>
      <rPr>
        <sz val="10"/>
        <rFont val="微軟正黑體"/>
        <family val="2"/>
      </rPr>
      <t>A立面（</t>
    </r>
    <r>
      <rPr>
        <b/>
        <sz val="10"/>
        <rFont val="微軟正黑體"/>
        <family val="2"/>
      </rPr>
      <t>墻布</t>
    </r>
    <r>
      <rPr>
        <sz val="10"/>
        <rFont val="微軟正黑體"/>
        <family val="2"/>
      </rPr>
      <t>）
按圖紙及技術規範要求包括但不限於墻身基層膩子找平、墻紙基膜、切口、修口、收邊等所需的一切材料及工序（詳見效果圖）
(量度方法：只計算墻身平面面積)</t>
    </r>
    <phoneticPr fontId="34" type="noConversion"/>
  </si>
  <si>
    <t>設計，供應及安裝墻身系統E2-04A立面（不鏽鋼踢腳線）
按圖紙及技術規範要求包括但不限於木基層、切口、修口、收邊等所需的一切材料及工序</t>
    <phoneticPr fontId="34" type="noConversion"/>
  </si>
  <si>
    <r>
      <t>設計，供應及安裝墻身系統</t>
    </r>
    <r>
      <rPr>
        <sz val="10"/>
        <rFont val="微軟正黑體"/>
        <family val="2"/>
      </rPr>
      <t>E2-04</t>
    </r>
    <r>
      <rPr>
        <sz val="10"/>
        <rFont val="微軟正黑體"/>
        <family val="2"/>
      </rPr>
      <t>B立面（</t>
    </r>
    <r>
      <rPr>
        <b/>
        <sz val="10"/>
        <rFont val="微軟正黑體"/>
        <family val="2"/>
      </rPr>
      <t>墻布</t>
    </r>
    <r>
      <rPr>
        <sz val="10"/>
        <rFont val="微軟正黑體"/>
        <family val="2"/>
      </rPr>
      <t>）
按圖紙及技術規範要求包括但不限於墻身基層膩子找平、墻紙基膜、切口、修口、收邊等所需的一切材料及工序（詳見效果圖）
(量度方法：只計算墻身平面面積)</t>
    </r>
    <phoneticPr fontId="34" type="noConversion"/>
  </si>
  <si>
    <t>設計，供應及安裝墻身系統E2-04B立面（不鏽鋼踢腳線）
按圖紙及技術規範要求包括但不限於木基層、切口、修口、收邊等所需的一切材料及工序</t>
    <phoneticPr fontId="34" type="noConversion"/>
  </si>
  <si>
    <r>
      <t>設計，供應及安裝墻身系統</t>
    </r>
    <r>
      <rPr>
        <sz val="10"/>
        <rFont val="微軟正黑體"/>
        <family val="2"/>
      </rPr>
      <t>E2-04</t>
    </r>
    <r>
      <rPr>
        <sz val="10"/>
        <rFont val="微軟正黑體"/>
        <family val="2"/>
      </rPr>
      <t>C立面（</t>
    </r>
    <r>
      <rPr>
        <b/>
        <sz val="10"/>
        <rFont val="微軟正黑體"/>
        <family val="2"/>
      </rPr>
      <t>墻布</t>
    </r>
    <r>
      <rPr>
        <sz val="10"/>
        <rFont val="微軟正黑體"/>
        <family val="2"/>
      </rPr>
      <t>）
按圖紙及技術規範要求包括但不限於墻身基層膩子找平、墻紙基膜、切口、修口、收邊等所需的一切材料及工序（詳見效果圖）
(量度方法：只計算墻身平面面積)</t>
    </r>
    <phoneticPr fontId="34" type="noConversion"/>
  </si>
  <si>
    <t>設計，供應及安裝墻身系統E2-04C立面（不鏽鋼踢腳線）
按圖紙及技術規範要求包括但不限於木基層、切口、修口、收邊等所需的一切材料及工序</t>
    <phoneticPr fontId="34" type="noConversion"/>
  </si>
  <si>
    <r>
      <t>設計，供應及安裝墻身系統</t>
    </r>
    <r>
      <rPr>
        <sz val="10"/>
        <rFont val="微軟正黑體"/>
        <family val="2"/>
      </rPr>
      <t>E2-04</t>
    </r>
    <r>
      <rPr>
        <sz val="10"/>
        <rFont val="微軟正黑體"/>
        <family val="2"/>
      </rPr>
      <t>D立面（</t>
    </r>
    <r>
      <rPr>
        <b/>
        <sz val="10"/>
        <rFont val="微軟正黑體"/>
        <family val="2"/>
      </rPr>
      <t>墻布</t>
    </r>
    <r>
      <rPr>
        <sz val="10"/>
        <rFont val="微軟正黑體"/>
        <family val="2"/>
      </rPr>
      <t>）
按圖紙及技術規範要求包括但不限於墻身基層膩子找平、墻紙基膜、切口、修口、收邊等所需的一切材料及工序（詳見效果圖）
(量度方法：只計算墻身平面面積)</t>
    </r>
    <phoneticPr fontId="34" type="noConversion"/>
  </si>
  <si>
    <t>設計，供應及安裝墻身系統E2-04D立面（不鏽鋼踢腳線）
按圖紙及技術規範要求包括但不限於木基層、切口、修口、收邊等所需的一切材料及工序</t>
    <phoneticPr fontId="34" type="noConversion"/>
  </si>
  <si>
    <r>
      <t>於22層，24人會議室</t>
    </r>
    <r>
      <rPr>
        <sz val="10"/>
        <rFont val="微軟正黑體"/>
        <family val="2"/>
      </rPr>
      <t>(E2-03)</t>
    </r>
    <phoneticPr fontId="34" type="noConversion"/>
  </si>
  <si>
    <r>
      <t>於22層，接待處</t>
    </r>
    <r>
      <rPr>
        <sz val="10"/>
        <rFont val="微軟正黑體"/>
        <family val="2"/>
      </rPr>
      <t>(E2-01</t>
    </r>
    <r>
      <rPr>
        <sz val="10"/>
        <rFont val="微軟正黑體"/>
        <family val="2"/>
      </rPr>
      <t>）</t>
    </r>
    <phoneticPr fontId="34" type="noConversion"/>
  </si>
  <si>
    <r>
      <t>設計，供應及安裝墻身系統</t>
    </r>
    <r>
      <rPr>
        <sz val="10"/>
        <rFont val="微軟正黑體"/>
        <family val="2"/>
      </rPr>
      <t>E2-02-</t>
    </r>
    <r>
      <rPr>
        <sz val="10"/>
        <rFont val="微軟正黑體"/>
        <family val="2"/>
      </rPr>
      <t>立面（</t>
    </r>
    <r>
      <rPr>
        <b/>
        <sz val="10"/>
        <rFont val="微軟正黑體"/>
        <family val="2"/>
      </rPr>
      <t>木飾面、木飾面格柵</t>
    </r>
    <r>
      <rPr>
        <sz val="10"/>
        <rFont val="微軟正黑體"/>
        <family val="2"/>
      </rPr>
      <t>、硬包饰面、不锈钢收口条）
按圖紙及技術規範要求包括但不限於墻身基層、鍍鋅方鋼、L50型鍍鋅角鋼、膨脹螺絲、輕鋼龍骨、輕鋼龍骨調頻件、C50糸列輕鋼覆面龍骨、50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(量度方法：只計算墻身平面面積)</t>
    </r>
    <phoneticPr fontId="34" type="noConversion"/>
  </si>
  <si>
    <t>設計，供應及安裝墻身系統E2-02-D立面（不鏽鋼踢腳線）
按圖紙及技術規範要求包括但不限於木基層、切口、修口、收邊等所需的一切材料及工序</t>
    <phoneticPr fontId="34" type="noConversion"/>
  </si>
  <si>
    <r>
      <t>設計，供應及安裝墻身系統統</t>
    </r>
    <r>
      <rPr>
        <sz val="10"/>
        <rFont val="微軟正黑體"/>
        <family val="2"/>
      </rPr>
      <t>E2-02-A\B\C</t>
    </r>
    <r>
      <rPr>
        <sz val="10"/>
        <rFont val="微軟正黑體"/>
        <family val="2"/>
      </rPr>
      <t>立面（</t>
    </r>
    <r>
      <rPr>
        <b/>
        <sz val="10"/>
        <rFont val="微軟正黑體"/>
        <family val="2"/>
      </rPr>
      <t>木飾面、木飾面格柵</t>
    </r>
    <r>
      <rPr>
        <sz val="10"/>
        <rFont val="微軟正黑體"/>
        <family val="2"/>
      </rPr>
      <t>、拉丝不锈钢饰面、木纹吸音铝板平板、不锈钢收口条）
按圖紙及技術規範要求包括但不限於墻身基層、鍍鋅方鋼、L50型鍍鋅角鋼、膨脹螺絲、輕鋼龍骨、輕鋼龍骨調頻件、C50糸列輕鋼覆面龍骨、50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(量度方法：只計算墻身平面面積)</t>
    </r>
    <phoneticPr fontId="34" type="noConversion"/>
  </si>
  <si>
    <t>設計，供應及安裝墻身系統E2-05-CC立面（木饰面、石材、艺术玻璃、不锈钢收口条）
按圖紙及技術規範要求包括但不限於墻身基層、鍍鋅方鋼、L50型鍍鋅角鋼、膨脹螺絲、輕鋼龍骨、輕鋼龍骨調頻件、C50糸列輕鋼覆面龍骨、50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(量度方法：只計算墻身平面面積)</t>
    <phoneticPr fontId="34" type="noConversion"/>
  </si>
  <si>
    <t>設計，供應及安裝墻身系統E2-05-CC立面（不鏽鋼踢腳線）
按圖紙及技術規範要求包括但不限於木基層、切口、修口、收邊等所需的一切材料及工序</t>
    <phoneticPr fontId="34" type="noConversion"/>
  </si>
  <si>
    <r>
      <t>設計，供應及安裝墻身系統</t>
    </r>
    <r>
      <rPr>
        <sz val="10"/>
        <rFont val="微軟正黑體"/>
        <family val="2"/>
      </rPr>
      <t>E2-05-C</t>
    </r>
    <r>
      <rPr>
        <sz val="10"/>
        <rFont val="微軟正黑體"/>
        <family val="2"/>
      </rPr>
      <t>A\B\D立面（木饰面、</t>
    </r>
    <r>
      <rPr>
        <b/>
        <sz val="10"/>
        <rFont val="微軟正黑體"/>
        <family val="2"/>
      </rPr>
      <t>墻布</t>
    </r>
    <r>
      <rPr>
        <sz val="10"/>
        <rFont val="微軟正黑體"/>
        <family val="2"/>
      </rPr>
      <t>、不锈钢收口条）
按圖紙及技術規範要求包括但不限於墻身基層、鍍鋅方鋼、L50型鍍鋅角鋼、膨脹螺絲、輕鋼龍骨、輕鋼龍骨調頻件、C50糸列輕鋼覆面龍骨、50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(量度方法：只計算墻身平面面積)</t>
    </r>
    <phoneticPr fontId="34" type="noConversion"/>
  </si>
  <si>
    <r>
      <t>於22層，主管辦公室1至5</t>
    </r>
    <r>
      <rPr>
        <b/>
        <sz val="10"/>
        <rFont val="微軟正黑體"/>
        <family val="2"/>
        <charset val="136"/>
      </rPr>
      <t>(E2-07）</t>
    </r>
  </si>
  <si>
    <r>
      <t>於22層，會議室</t>
    </r>
    <r>
      <rPr>
        <b/>
        <sz val="10"/>
        <rFont val="微軟正黑體"/>
        <family val="2"/>
        <charset val="136"/>
      </rPr>
      <t>（E2-06)</t>
    </r>
  </si>
  <si>
    <r>
      <t>於22層，總經理室1至2</t>
    </r>
    <r>
      <rPr>
        <b/>
        <sz val="10"/>
        <rFont val="微軟正黑體"/>
        <family val="2"/>
        <charset val="136"/>
      </rPr>
      <t>（E2-08)</t>
    </r>
  </si>
  <si>
    <t>工程量清單</t>
    <phoneticPr fontId="34" type="noConversion"/>
  </si>
  <si>
    <t>中國人壽保險（海外）股份有限公司辦公室裝修工程</t>
    <phoneticPr fontId="34" type="noConversion"/>
  </si>
  <si>
    <t>工程名稱：中國人壽保險（海外）股份有限公司辦公室裝修工程</t>
    <phoneticPr fontId="34" type="noConversion"/>
  </si>
  <si>
    <t>G. 第七章 傢具部份</t>
    <phoneticPr fontId="35" type="noConversion"/>
  </si>
  <si>
    <r>
      <rPr>
        <sz val="10"/>
        <rFont val="微软雅黑"/>
        <family val="2"/>
        <charset val="134"/>
      </rPr>
      <t>單價
(澳門幣)</t>
    </r>
  </si>
  <si>
    <r>
      <rPr>
        <sz val="10"/>
        <rFont val="微软雅黑"/>
        <family val="2"/>
        <charset val="134"/>
      </rPr>
      <t>合價
(澳門幣)</t>
    </r>
  </si>
  <si>
    <t>關於本 '第七章 - 傢具部份',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phoneticPr fontId="35" type="noConversion"/>
  </si>
  <si>
    <r>
      <rPr>
        <sz val="10"/>
        <rFont val="微软雅黑"/>
        <family val="2"/>
        <charset val="134"/>
      </rPr>
      <t>本項目設施及建材必須符合國際建築規範和澳門政府部門應可之規範實施並達至竣工檢驗合格之標準,
相關設施及建材必須附有符合國際建築規範和澳門政府部門應可之技術檢測報告/證書等文件。</t>
    </r>
  </si>
  <si>
    <t>G1</t>
    <phoneticPr fontId="35" type="noConversion"/>
  </si>
  <si>
    <t>總經理辦公室 （共5間，1間大（22層），4間小（20層22層各2間）</t>
    <phoneticPr fontId="35" type="noConversion"/>
  </si>
  <si>
    <t>G1.1</t>
    <phoneticPr fontId="35" type="noConversion"/>
  </si>
  <si>
    <t>班台 L2200*W1750*H750</t>
    <phoneticPr fontId="35" type="noConversion"/>
  </si>
  <si>
    <t>張</t>
    <phoneticPr fontId="35" type="noConversion"/>
  </si>
  <si>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環保性高,無異味，抗菌、防潮防水、耐高溫，噴粉耐刮級別高，檯面斜邊處理，辦公舒適。檯面帶升降，輕鬆掌控，智慧控制 , 一鍵升降，讓你的工作環境隨心調節，避免腰肌勞損，健康辦公，人性辦公。</t>
    <phoneticPr fontId="35" type="noConversion"/>
  </si>
  <si>
    <t>G1.2</t>
    <phoneticPr fontId="35" type="noConversion"/>
  </si>
  <si>
    <t>班臺 L2000*W1750*H750</t>
    <phoneticPr fontId="35" type="noConversion"/>
  </si>
  <si>
    <t>G1.3</t>
    <phoneticPr fontId="35" type="noConversion"/>
  </si>
  <si>
    <t>總經理文件櫃 L3200*W500*H2000</t>
    <phoneticPr fontId="35" type="noConversion"/>
  </si>
  <si>
    <t>個</t>
    <phoneticPr fontId="35" type="noConversion"/>
  </si>
  <si>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t>
    <phoneticPr fontId="35" type="noConversion"/>
  </si>
  <si>
    <t>G1.4</t>
    <phoneticPr fontId="35" type="noConversion"/>
  </si>
  <si>
    <t>班椅（帶午休功能）680*540*（1040~1300）</t>
    <phoneticPr fontId="35" type="noConversion"/>
  </si>
  <si>
    <t>1、外框：塑膠框架，選用黑色高強度尼龍加玻璃纖維環保新料內外框架；
2、頭枕：面料採用優質聚酯纖維材質網布，3D頭枕主體前後0-90度調整，5段上下調節，上下調節最大距離11.5CM（獨家專利）；
3、椅背：採用進口優質高彈性阻燃網布，椅背高度5段式升降，背連接支撐架黑色高強度尼龍加玻璃纖維環保新料，後仰力度可調節，椅背後仰3段鎖定最大角度130度，根據使用者腰部變化自動變化支撐角度，提供腰部強力支撐（獨家專利）；
4、扶手：3D扶手PU靠墊，採用鋁合金精拋光支撐架及扶手內管，扶手主體5段式高度升降6CM，扶手墊前後滑動5.5CM，左右擺動40度，PP塑膠扶手外殼與PU扶手面，柔軟耐磨（獨家專利）；
5、坐墊：進口優質高彈性阻燃網布座墊，深淺3段調節(滑座)，滑動距離5CM；座墊高度調節10CM；框架主體材料為黑色高強度尼龍加玻璃纖維環保新料；
6、底盤：不銹鋼絲線控裝置底盤，雙彈簧回彈機構，側邊搖杆式後仰力度調節，扶手椅背同步傾仰，底盤主體全鋁合金壓鑄一體成形（獨家專利）；
7、氣壓棒：採用國際標準4級氣壓棒，棒芯壁厚2.5MM，並採用QPQ滲碳技術處理；
8、椅腳：360MM高載重鋁合金拋光椅腳（超越行業標準可載重1500KG) （控標點）；
9、滑輪：BIFMA、AFRDI、JIA認證之60MMPU滑輪，中間電鍍（獨家專利）；
10、腳踏：優樂架主結構為純鐵抽出並烤漆，無段式輕鬆翻轉至與座墊平行，可滑動推出12CM(坐墊前沿至腳踏位置，最長可達40cm) （獨家專利）；</t>
    <phoneticPr fontId="35" type="noConversion"/>
  </si>
  <si>
    <t>G1.5</t>
    <phoneticPr fontId="35" type="noConversion"/>
  </si>
  <si>
    <t>班前椅</t>
    <phoneticPr fontId="35" type="noConversion"/>
  </si>
  <si>
    <t>椅背：背框全新進口PA+玻纖材質，搭配高彈力韓國進口特網，舒適透氣，美觀耐磨。
椅座：座墊採用硬度50，密度60的定型海綿，舒適透氣，左右固定扶手，配PP工程塑料防塵底殼。
椅架：異型管，穩固性強，全自動機械臂焊接，穩固性強，表面經高速打砂除鏽處理，採用高溫烤漆噴塗工藝，漆面牢固，不脫漆，提升檔次；
功能：椅架可堆疊收納，節省擺放空間，PU靜音萬向輪，便於搬動，能夠快速調整佈局，滿足不同環境。</t>
    <phoneticPr fontId="35" type="noConversion"/>
  </si>
  <si>
    <t>G1.6</t>
    <phoneticPr fontId="35" type="noConversion"/>
  </si>
  <si>
    <t>單人沙發 L1060*W950*H800</t>
    <phoneticPr fontId="35" type="noConversion"/>
  </si>
  <si>
    <t>1.飾面：採用“利昌”“華峰”“東富”品牌或同品質(或相當於)臻選優質頭層黃牛真皮，厚度≥1.0mm，經液態浸色及防潮、防汙等工藝處理，皮面更加柔軟舒適、光澤持久性好，紋理細膩，耐磨損，撕裂力≥20N，摩擦色牢度（光面革乾擦（500次））≥4級；禁用偶氮染料含量≤30mg/kg，游離甲醛含量≤75mg/kg，符合GB/T16799-2018標準。  
2.海綿：選用優質原生海綿或一體成型泡綿，表面塗有防止老化變形的保護膜,可防氧化,防碎，回彈率要求好。
3.框架：多層實木沙發框架，紐西蘭樟子松或俄羅斯落葉松四面刨木方相結合，框架制做符合人體工學，結構合理，扎實穩固，承托力達260-300KG，含水率介於8%-12%，經防腐防蟲防潮技術處理
4.整體：車縫線路均勻飽滿、線條順暢、針距均勻；捫面整體感觀流暢、外型符合要求；組裝後全面測試：轉角平滑、後背及底座包飽滿，富有彈性、左右對齊。</t>
    <phoneticPr fontId="35" type="noConversion"/>
  </si>
  <si>
    <t>G1.7</t>
    <phoneticPr fontId="35" type="noConversion"/>
  </si>
  <si>
    <t>小茶几：L600*W600*H550</t>
    <phoneticPr fontId="35" type="noConversion"/>
  </si>
  <si>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環保性高,無異味，抗菌、防潮防水、耐高溫，噴粉耐刮級別高，檯面斜邊處理，辦公舒適。五金腳架，噴塗處理。</t>
    <phoneticPr fontId="35" type="noConversion"/>
  </si>
  <si>
    <t>G1.8</t>
    <phoneticPr fontId="35" type="noConversion"/>
  </si>
  <si>
    <t>茶几：∅1200*750</t>
    <phoneticPr fontId="35" type="noConversion"/>
  </si>
  <si>
    <t>G1.9</t>
    <phoneticPr fontId="35" type="noConversion"/>
  </si>
  <si>
    <t>洽談桌 ∅600*H750</t>
    <phoneticPr fontId="35" type="noConversion"/>
  </si>
  <si>
    <t>件</t>
    <phoneticPr fontId="35" type="noConversion"/>
  </si>
  <si>
    <t>G1.10</t>
    <phoneticPr fontId="35" type="noConversion"/>
  </si>
  <si>
    <t>椅子</t>
    <phoneticPr fontId="35" type="noConversion"/>
  </si>
  <si>
    <t>G2</t>
    <phoneticPr fontId="35" type="noConversion"/>
  </si>
  <si>
    <t>茶室</t>
    <phoneticPr fontId="35" type="noConversion"/>
  </si>
  <si>
    <t>G2.1</t>
    <phoneticPr fontId="35" type="noConversion"/>
  </si>
  <si>
    <t>茶臺 2200*800*730</t>
    <phoneticPr fontId="35" type="noConversion"/>
  </si>
  <si>
    <t>面板：35MM天然烏金木+15MM綠松石奢石面+石英石茶盤
右向櫃子：多層實木夾板貼馬鞍皮飾面+內貼絨布面+烏金木腳架
腳架：亞克力+烏金木腳架</t>
    <phoneticPr fontId="35" type="noConversion"/>
  </si>
  <si>
    <t>G2.2</t>
    <phoneticPr fontId="35" type="noConversion"/>
  </si>
  <si>
    <t>主椅</t>
    <phoneticPr fontId="35" type="noConversion"/>
  </si>
  <si>
    <t>架子：天然烏金木，座包：西皮靠背座包</t>
    <phoneticPr fontId="35" type="noConversion"/>
  </si>
  <si>
    <t>G2.3</t>
    <phoneticPr fontId="35" type="noConversion"/>
  </si>
  <si>
    <t>客椅</t>
    <phoneticPr fontId="35" type="noConversion"/>
  </si>
  <si>
    <t>G2.4</t>
    <phoneticPr fontId="35" type="noConversion"/>
  </si>
  <si>
    <t>沙發1+3</t>
    <phoneticPr fontId="35" type="noConversion"/>
  </si>
  <si>
    <t>套</t>
    <phoneticPr fontId="35" type="noConversion"/>
  </si>
  <si>
    <t>1.飾面：採用優質布藝，符合GB/T16799-2018標準。  
2.海綿：選用優質原生海綿或一體成型泡綿，表面塗有防止老化變形的保護膜,可防氧化,防碎，回彈率要求好。
3.框架：多層實木沙發框架，紐西蘭樟子松或俄羅斯落葉松四面刨木方相結合，框架制做符合人體工學，結構合理，扎實穩固，承托力達260-300KG，含水率介於8%-12%，經防腐防蟲防潮技術處理
4.整體：車縫線路均勻飽滿、線條順暢、針距均勻；捫面整體感觀流暢、外型符合要求；組裝後全面測試：轉角平滑、後背及底座包飽滿，富有彈性、左右對齊。</t>
    <phoneticPr fontId="35" type="noConversion"/>
  </si>
  <si>
    <t>G2.5</t>
    <phoneticPr fontId="35" type="noConversion"/>
  </si>
  <si>
    <t>小茶几 ∅500*580</t>
    <phoneticPr fontId="35" type="noConversion"/>
  </si>
  <si>
    <t>檯面：岩板檯面，耐磨耐刮，耐髒；
幾身：金屬材質，熱轉印處理</t>
    <phoneticPr fontId="35" type="noConversion"/>
  </si>
  <si>
    <t>G3</t>
    <phoneticPr fontId="35" type="noConversion"/>
  </si>
  <si>
    <t>主管辦公室（17平，20層6間）</t>
    <phoneticPr fontId="35" type="noConversion"/>
  </si>
  <si>
    <t>G3.1</t>
    <phoneticPr fontId="35" type="noConversion"/>
  </si>
  <si>
    <t>主管位 1800*1600*750</t>
    <phoneticPr fontId="35" type="noConversion"/>
  </si>
  <si>
    <t>位</t>
    <phoneticPr fontId="35" type="noConversion"/>
  </si>
  <si>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環保性高,無異味，抗菌、防潮防水、耐高溫，噴粉耐刮級別高。判定據需包含HG/T 2006-2006《熱固性粉末塗料（室內用優等品），檢測結果要求：可溶性鉛（Pb）≤90mg/kg、可溶性鎘（Cd）≤75mg/kg、可溶性鉻（Cr）≤60mg/kg、可溶性汞（Hg）≤60mg/kg。鋼制腳架，根據人壽logo顏色定制綠色。</t>
    <phoneticPr fontId="35" type="noConversion"/>
  </si>
  <si>
    <t>G3.2</t>
    <phoneticPr fontId="35" type="noConversion"/>
  </si>
  <si>
    <t>主管檔櫃 L2400*W400*H1800</t>
    <phoneticPr fontId="35" type="noConversion"/>
  </si>
  <si>
    <t>1.基材：採用“福人”“大亞”“豐林”同級別品牌E0級中密度纖維板，性能穩定，抗變形能力強，握釘力佳，可經過多次拆裝，承重力好，表面平整。按照GB/T 39600-2021《人造板及其製品甲醛釋放量分組》,E0級甲醛釋放量≤0.05mg/m³。
2.門板工藝：採用採用環保中纖板靜電噴粉工藝（主要材料為特製樹脂），通過預熱加溫，將基材內的甲醛和揮發物（VOC）等有害物質充分釋放，通過靜電將樹脂粉末直接均勻吸附在中纖板表面，飾面板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環保性高,無異味，抗菌、防潮防水、耐高溫，噴粉耐刮級別高，檯面斜邊處理，辦公舒適。</t>
    <phoneticPr fontId="35" type="noConversion"/>
  </si>
  <si>
    <t>G3.3</t>
    <phoneticPr fontId="35" type="noConversion"/>
  </si>
  <si>
    <t>班椅（帶午休功能） L680*W660*H1110</t>
    <phoneticPr fontId="35" type="noConversion"/>
  </si>
  <si>
    <t>1、網布：採用優質網布，符合GB/T 18885-2009標準、甲醛含量、可萃取重金屬、可分解有害芳香胺染料未檢出，耐酸汗漬色牢度、耐鹼汗漬色牢度、耐水色牢度、幹摩擦色牢度≥4級，耐磨性能≥18000次。
2、氣壓棒：符合GB/T 29525-2013《座椅升降氣彈簧 技術條件》標準，抽樣基數≥50件；密封性能：氣彈簧鎖定在任意位置，經72H常溫儲存後，活塞杆不應產生位移，檢測結果為符合。耐高低溫性能、迴圈壽命均為合格。
3、底盤：符合QB/T 2280-2016標準、GB/T 3325-2017標準，塑膠件、金屬件、塗層和鍍層外觀合格，金屬噴漆塗層附著力≥2級，耐腐蝕100h乙酸鹽霧試驗（ASS）≥9級，中性鹽霧試驗（200h）≥9級，背座同步傾仰，四檔位置鎖定。
5、椅輪:,符合QB/T2280-2016標準、GB/T 32487-2016標準、GB 28481-2012標準,塑膠件外觀應無裂紋，無明顯變形，無明顯縮孔、氣泡、雜質、傷痕，可溶性重金屬（包含鉛，鎘，鉻、汞）不得檢出
6、頭枕，採用網布材質，可插拔，安全保障，通過BIFMA測試合格
7、腰靠：可活動自調節腰靠，搭配優質PU升降扶手，帶腳踏黑西皮面料，旋轉折疊，前後伸縮。</t>
    <phoneticPr fontId="35" type="noConversion"/>
  </si>
  <si>
    <t>G3.4</t>
    <phoneticPr fontId="35" type="noConversion"/>
  </si>
  <si>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環保性高,無異味，抗菌、防潮防水、耐高溫，噴粉耐刮級別高。判定據需包含HG/T 2006-2006《熱固性粉末塗料（室內用優等品），檢測結果要求：可溶性鉛（Pb）≤90mg/kg、可溶性鎘（Cd）≤75mg/kg、可溶性鉻（Cr）≤60mg/kg、可溶性汞（Hg）≤60mg/kg。不銹鋼拉絲腳架。</t>
    <phoneticPr fontId="35" type="noConversion"/>
  </si>
  <si>
    <t>G3.5</t>
    <phoneticPr fontId="35" type="noConversion"/>
  </si>
  <si>
    <t>班前椅、洽談椅</t>
    <phoneticPr fontId="35" type="noConversion"/>
  </si>
  <si>
    <t>G4</t>
    <phoneticPr fontId="35" type="noConversion"/>
  </si>
  <si>
    <t>U型主管位（8間，22層5間，20層3間）</t>
    <phoneticPr fontId="35" type="noConversion"/>
  </si>
  <si>
    <t>G4.1</t>
    <phoneticPr fontId="35" type="noConversion"/>
  </si>
  <si>
    <t>U型工位 2400*1800*1200  噴粉升降臺尺寸：L1800*W850*H750</t>
    <phoneticPr fontId="35" type="noConversion"/>
  </si>
  <si>
    <t>1、屏風框架：屏風框架：採用國家免檢鋁材，表面經靜電粉沫噴塗處理，有效防靜電，防脫色和使用過程中的刮花，主鋁材壁厚（縱向）足1.2MM材壁厚（橫向）足1.2MM，線槽厚度足1.2MM，接頭選用鋅合金接頭；屏風底部帶高度調節腳，以解決地面不平的問題。
2、屏風面板：縱向屏風為厚屏，厚度≥60MM，屏風下部(白色鋼制面板H750MM)+屏風中部（捫布面板（布板顏色可選） H200MM) +屏風上部（磨砂玻璃H250MM）。橫向屏風為薄屏，厚度≥40MM，屏風下部(白色鋼制面板H750MM)+屏風中部（捫布面板（布板顏色可選） H200MM) +屏風上部（磨砂玻璃H250MM）。屏風扣板採用優質鋼制扣板，表面經除油除鏽、酸洗磷化處理，焊接牢固、光滑平整，表面靜電粉末噴塑，環保性能好，衝擊強度達標，符合GB/T 3325-2024《金屬傢俱通用技術條件》，QB/T 1951.2-2013《金屬傢俱品質檢驗及品質評定。
3、檯面基材：採用E0級中密度纖維板，性能穩定，抗變形能力強，握釘力佳，可經過多次拆裝，承重力好，表面平整。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環保性高,無異味，抗菌、防潮防水、耐高溫，噴粉耐刮高。塑粉粉末：檢測依據符合HG/T 2006-2022《熱固性和熱塑性粉末塗料
 4、鋼架：採用品牌優質鋼管，鋼管壁厚≥2.0mm。經酸洗、磷化除鏽處理，表面採用靜電噴塗工藝，耐刮、耐磨、耐腐蝕。檢測依據符合GB/T3325-2024、QB/T1951.2-2013、QB/T3826-1999、QB/T3827-1999、QB/T3832-1999、GB/T10125-2021、QB/T4767-2014、GB/T228.1-2021、GB/T3094-2012、GB/T9754-2007，符合國家要求（主桌帶升降功能，四擋可記憶設置，自由調節，使得辦公更加健康、人性）</t>
    <phoneticPr fontId="35" type="noConversion"/>
  </si>
  <si>
    <t>G4.2</t>
    <phoneticPr fontId="35" type="noConversion"/>
  </si>
  <si>
    <t>班椅 L680*W660*H1110</t>
    <phoneticPr fontId="35" type="noConversion"/>
  </si>
  <si>
    <t>G4.3</t>
    <phoneticPr fontId="35" type="noConversion"/>
  </si>
  <si>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環保性高,無異味，抗菌、防潮防水、耐高溫，噴粉耐刮級別高。不銹鋼拉絲腳架。</t>
    <phoneticPr fontId="35" type="noConversion"/>
  </si>
  <si>
    <t>G4.4</t>
    <phoneticPr fontId="35" type="noConversion"/>
  </si>
  <si>
    <t>會議椅</t>
    <phoneticPr fontId="35" type="noConversion"/>
  </si>
  <si>
    <t>椅背：背框全新進口PA+玻纖材質，搭配高彈力韓國進口特網，舒適透氣，美觀耐磨。
椅座：座墊採用硬度50，密度60的定型海綿，舒適透氣，左右固定扶手，配PP工程塑料防塵底殼。
椅架：異型管，穩固性強，全自動機械臂焊接，穩固性強，表面經高速打砂除鏽處理，採用高溫烤漆噴塗工藝，漆面牢固，不脫漆，精拋鋁合金連接件，提升檔次；
功能：椅架可堆疊收納，節省擺放空間，PU靜音萬向輪，便於搬動，能夠快速調整佈局，滿足不同環境。</t>
    <phoneticPr fontId="35" type="noConversion"/>
  </si>
  <si>
    <t>G5</t>
    <phoneticPr fontId="35" type="noConversion"/>
  </si>
  <si>
    <t>職員區</t>
    <phoneticPr fontId="35" type="noConversion"/>
  </si>
  <si>
    <t>G5.1</t>
    <phoneticPr fontId="35" type="noConversion"/>
  </si>
  <si>
    <t>L形屏風工位（20層48位，22層33位）</t>
    <phoneticPr fontId="35" type="noConversion"/>
  </si>
  <si>
    <t>1500*1600*1200  鋼制活動櫃尺寸：400*500*580</t>
    <phoneticPr fontId="35" type="noConversion"/>
  </si>
  <si>
    <t>1、屏風框架：屏風框架：採用國家免檢鋁材，表面經靜電粉沫噴塗處理，有效防靜電，防脫色和使用過程中的刮花，主鋁材壁厚（縱向）足1.2MM材壁厚（橫向）足1.2MM，線槽厚度足1.2MM，接頭選用鋅合金接頭；屏風底部帶高度調節腳，以解決地面不平的問題。
2、屏風面板：縱向屏風為厚屏，厚度≥60MM，屏風下部(白色鋼制面板H750MM)+屏風中部（捫布面板（布板顏色可選） H200MM) +屏風上部（磨砂玻璃H250MM）。橫向屏風為薄屏，厚度≥40MM，屏風下部(白色鋼制面板H750MM)+屏風中部（捫布面板（布板顏色可選） H200MM) +屏風上部（磨砂玻璃H250MM）。屏風扣板採用優質鋼制扣板，表面經除油除鏽、酸洗磷化處理，焊接牢固、光滑平整，表面靜電粉末噴塑，環保性能好，衝擊強度達標，符合GB/T 3325-2024《金屬傢俱通用技術條件》，QB/T 1951.2-2013《金屬傢俱品質檢驗及品質評定。
3、檯面基材：採用E0級中密度纖維板，性能穩定，抗變形能力強，握釘力佳，可經過多次拆裝，承重力好，表面平整。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環保性高,無異味，抗菌、防潮防水、耐高溫，噴粉耐刮高。塑粉粉末：檢測依據符合HG/T 2006-2022《熱固性和熱塑性粉末塗料。報價包含三抽鋼制活動櫃；</t>
    <phoneticPr fontId="35" type="noConversion"/>
  </si>
  <si>
    <t>G5.2</t>
    <phoneticPr fontId="35" type="noConversion"/>
  </si>
  <si>
    <t>矩形工位（含固定櫃） 1200*600*750</t>
    <phoneticPr fontId="35" type="noConversion"/>
  </si>
  <si>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環保性高,無異味，抗菌、防潮防水、耐高溫，噴粉耐刮級別高。判定據需包含HG/T 2006-2006《熱固性粉末塗料（室內用優等品），檢測結果要求：可溶性鉛（Pb）≤90mg/kg、可溶性鎘（Cd）≤75mg/kg、可溶性鉻（Cr）≤60mg/kg、可溶性汞（Hg）≤60mg/kg。</t>
    <phoneticPr fontId="35" type="noConversion"/>
  </si>
  <si>
    <t>G5.3</t>
    <phoneticPr fontId="35" type="noConversion"/>
  </si>
  <si>
    <t>職員辦公椅</t>
    <phoneticPr fontId="35" type="noConversion"/>
  </si>
  <si>
    <t>頭枕：3D頭枕，可上下調節，（帶掛衣架）PA尼龍玻纖注塑配件。                                                                                                       背框：雙背設計，依身體重心之變化提供主動支撐,尼龍玻纖注塑配件，符合 BIFMA5.1測試標準。靠背採用進口優質特網。                                                                                                           坐墊  ：高密度定型海綿 ，裝飾坐殼、(帶軟包午休腳踏）。                                                                                                                         機構：三檔鎖定同步傾仰底盤，帶有傾仰調節功能.材質：鋁合金+鋼板，耐久性測試30萬次，機構運動無干涉，無噪音                                                                                                                  扶手：2D升降扶手，PU面  ,                                                                                氣杆：優質三級黑色氣壓棒，TUV認證 ，採用2.0mm優質無縫鋼管製作。                                                                                                       椅腳：高強度340#尼龍腳，注塑一次成型五星腳.                                                                                                 輪子：∮60黑色PU腳輪</t>
    <phoneticPr fontId="35" type="noConversion"/>
  </si>
  <si>
    <t>G5.4</t>
    <phoneticPr fontId="35" type="noConversion"/>
  </si>
  <si>
    <t>屏風前鋼制櫃（帶花槽櫃） L1500*W400*H1200</t>
    <phoneticPr fontId="35" type="noConversion"/>
  </si>
  <si>
    <t>1.鋼板：鋼制檔櫃用料採用國家標準優質冷鋼板（噴塑鋼板），材料厚度不低於0.7mm，外表顏色為煙灰色，要求鋼件做防銹處理。
2.塗層：採用環保優質噴塗粉末。塗層選用灰白色，永不變色。
3.工藝：金屬表面的處理：靜電噴塑。
焊接部位用保護焊接工藝，焊接處無明顯渣刺、氣孔現象，採取靜電噴霧式烤漆。。底部帶調整腳。拆裝式。</t>
    <phoneticPr fontId="35" type="noConversion"/>
  </si>
  <si>
    <t>G5.5</t>
    <phoneticPr fontId="35" type="noConversion"/>
  </si>
  <si>
    <t>鋼制矮櫃 L900*W400*H1050</t>
    <phoneticPr fontId="35" type="noConversion"/>
  </si>
  <si>
    <t>G6</t>
    <phoneticPr fontId="35" type="noConversion"/>
  </si>
  <si>
    <t>檔案室</t>
    <phoneticPr fontId="35" type="noConversion"/>
  </si>
  <si>
    <t>G6.1</t>
    <phoneticPr fontId="35" type="noConversion"/>
  </si>
  <si>
    <t>密集架（22層24列，20層37列） 1800*560*2400</t>
    <phoneticPr fontId="35" type="noConversion"/>
  </si>
  <si>
    <t>列</t>
    <phoneticPr fontId="35" type="noConversion"/>
  </si>
  <si>
    <t>1、材質說明：採用立柱1.2，隔板，掛板0.9，側板，頂板，檔書條0.8，地軌2.5 mm 厚的優質冷軋鋼板。                                                      2、靜電噴塑：鋼質部件採用乳化劑和鹼性助劑，磷酸除鏽、鋅系薄膜型磷化、鈍化，亞光熱固性環氧聚酯粉末，高溫固化(塑粉為灰色、噴塗厚度 0.035～0.038mm、硬度≧0.4mm、衝擊強度≧ 3.92J 無剝落、裂紋或皺紋等、附著力一級、光澤度≧65%、耐腐蝕耐鹽水 24H，不銹蝕、不鼓泡、不裂。)   
3、工藝結構要求：磷化處理、靜電噴塑，要求表面噴塗均勻、光滑、無裂痕、不搖晃。
地軌數量：一列一、二、三節為兩根地軌；一列四、五節為三根地軌；一列六、七節為四根地軌。</t>
    <phoneticPr fontId="35" type="noConversion"/>
  </si>
  <si>
    <t>G6.2</t>
    <phoneticPr fontId="35" type="noConversion"/>
  </si>
  <si>
    <t>鋼制高櫃 900*450*1800</t>
    <phoneticPr fontId="35" type="noConversion"/>
  </si>
  <si>
    <t>G6.3</t>
    <phoneticPr fontId="35" type="noConversion"/>
  </si>
  <si>
    <t>貨架 1000*600*2000</t>
    <phoneticPr fontId="35" type="noConversion"/>
  </si>
  <si>
    <t>每組四層板；每層平均承重250KG
立柱規格：40*80*1.0mmC型鋼
橫樑規格：40*60*1.0mmP型鋼    
層板：0.6mm冷軋鋼板</t>
    <phoneticPr fontId="35" type="noConversion"/>
  </si>
  <si>
    <t>G7</t>
    <phoneticPr fontId="35" type="noConversion"/>
  </si>
  <si>
    <t>獨立間及視頻會議室</t>
    <phoneticPr fontId="35" type="noConversion"/>
  </si>
  <si>
    <t>G7.1</t>
    <phoneticPr fontId="35" type="noConversion"/>
  </si>
  <si>
    <t>視頻會議桌 5800*1600*750</t>
    <phoneticPr fontId="35" type="noConversion"/>
  </si>
  <si>
    <t>1、基材：中密度纖維板。符合GB/T 11718-2021 中密度纖維板，GB18580-2017室內裝飾裝修材料人造板及其製品中甲醛釋放限量，GB/T39600-2021人造板及其製品甲醛釋放量分級。
2、面材：符合GB/T 13010-2020《木材工業用單板》採用實木木皮貼面，厚度≥0.6mm，含水率≤8.9%、甲醛釋放量(乾燥器法)未檢出。
3、封邊條：符合QB/T 4463-2013 傢俱用封邊條技術要求,實木封邊條。
4、膠水：EVA熱熔膠 符合GB 18583-2008《室內裝飾裝修材料膠粘劑中有害物質限量》(溶劑型其他類膠粘劑) 。
5、油漆：採用水性底漆、水性面漆。符合HJ2537-2014《環境標誌產品技術要求水性塗料》：GB/T23999-2009《室內裝飾裝修用水性木器塗料》GB18581-2020《木器塗料中有害物質限量》。
6、五金配件：優質五金配件，均經過酸洗、磷洗等防銹處理</t>
    <phoneticPr fontId="35" type="noConversion"/>
  </si>
  <si>
    <t>G7.2</t>
    <phoneticPr fontId="35" type="noConversion"/>
  </si>
  <si>
    <t>會議椅 L710*W645*H1170</t>
    <phoneticPr fontId="35" type="noConversion"/>
  </si>
  <si>
    <t>1、網布：採用優質網布，符合GB/T 18885-2009標準、甲醛含量、可萃取重金屬、可分解有害芳香胺染料未檢出，耐酸汗漬色牢度、耐鹼汗漬色牢度、耐水色牢度、幹摩擦色牢度≥4級，耐磨性能≥18000次。
2、氣壓棒：符合GB/T 29525-2013《座椅升降氣彈簧 技術條件》標準，抽樣基數≥50件；密封性能：氣彈簧鎖定在任意位置，經72H常溫儲存後，活塞杆不應產生位移，檢測結果為符合。耐高低溫性能、迴圈壽命均為合格。
3、底盤：符合QB/T 2280-2016標準、GB/T 3325-2017標準，塑膠件、金屬件、塗層和鍍層外觀合格，金屬噴漆塗層附著力≥2級，耐腐蝕100h乙酸鹽霧試驗（ASS）≥9級，中性鹽霧試驗（200h）≥9級，背座同步傾仰，四檔位置鎖定。
5、椅輪:,符合QB/T2280-2016標準、GB/T 32487-2016標準、GB 28481-2012標準,塑膠件外觀應無裂紋，無明顯變形，無明顯縮孔、氣泡、雜質、傷痕，可溶性重金屬（包含鉛，鎘，鉻、汞）不得檢出
6、頭枕，採用網布材質，可插拔，安全保障，通過BIFMA測試合格
7、腰靠：可活動自調節腰靠，可根據不同身高自行調節，搭配優質PU升降扶手。</t>
    <phoneticPr fontId="35" type="noConversion"/>
  </si>
  <si>
    <t>G8</t>
    <phoneticPr fontId="35" type="noConversion"/>
  </si>
  <si>
    <t>茶水間圖書室（22層）</t>
    <phoneticPr fontId="35" type="noConversion"/>
  </si>
  <si>
    <t>G8.1</t>
    <phoneticPr fontId="35" type="noConversion"/>
  </si>
  <si>
    <t>6人吧台 L2200*W600*H105</t>
    <phoneticPr fontId="35" type="noConversion"/>
  </si>
  <si>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環保性高,無異味，抗菌、防潮防水、耐高溫，噴粉耐刮級別高。五金腳架，噴塗處理。</t>
    <phoneticPr fontId="35" type="noConversion"/>
  </si>
  <si>
    <t>G8.2</t>
    <phoneticPr fontId="35" type="noConversion"/>
  </si>
  <si>
    <t>吧椅 L450*W490*H960</t>
    <phoneticPr fontId="35" type="noConversion"/>
  </si>
  <si>
    <t>椅背：背框全新進口PA+玻纖材質，搭配高彈力韓國進口特網，舒適透氣，美觀耐磨。
椅座：座墊採用硬度50，密度60的定型海綿，舒適透氣，左右固定扶手，配PP工程塑料防塵底殼。
椅架：異型管，穩固性強，全自動機械臂焊接，穩固性強，表面經高速打砂除鏽處理，採用高溫烤漆噴塗工藝，漆面牢固，不脫漆；</t>
    <phoneticPr fontId="35" type="noConversion"/>
  </si>
  <si>
    <t>G8.3</t>
    <phoneticPr fontId="35" type="noConversion"/>
  </si>
  <si>
    <t>沙發1+2+3（單人：L930*W900*H880   三人：L1930*W900*H880）</t>
    <phoneticPr fontId="35" type="noConversion"/>
  </si>
  <si>
    <t>G8.4</t>
    <phoneticPr fontId="35" type="noConversion"/>
  </si>
  <si>
    <t>茶水間長茶几 1300*700*400</t>
    <phoneticPr fontId="35" type="noConversion"/>
  </si>
  <si>
    <t>架子：不銹鋼電鍍灰鈦 無指紋處理
檯面：拼色大理石檯面</t>
    <phoneticPr fontId="35" type="noConversion"/>
  </si>
  <si>
    <t>G9</t>
    <phoneticPr fontId="35" type="noConversion"/>
  </si>
  <si>
    <t>接待處（22層）</t>
    <phoneticPr fontId="35" type="noConversion"/>
  </si>
  <si>
    <t>G9.1</t>
    <phoneticPr fontId="35" type="noConversion"/>
  </si>
  <si>
    <t>三人沙發 2600*1250*750</t>
    <phoneticPr fontId="35" type="noConversion"/>
  </si>
  <si>
    <t>1.面料選用優質布藝，防潮、防汙易清潔等，皮面更加柔軟舒適，光澤持久性好；                                                                                                                    2.基材：原木沙發框架， 材質堅硬鋼性強，承托力達250KG，含水率低於9%，經防腐防蟲防潮等技術處理；                                                                          3.輔料：採用臺灣進口高密度成型PU泡棉，通過BS7176-1995測試，在火種離開10秒內，泡棉自動結焦熄滅，能均勻承托負重，在常期負重狀態下性能保持良好。</t>
    <phoneticPr fontId="35" type="noConversion"/>
  </si>
  <si>
    <t>G9.2</t>
    <phoneticPr fontId="35" type="noConversion"/>
  </si>
  <si>
    <t>單人沙發 800*780*800</t>
    <phoneticPr fontId="35" type="noConversion"/>
  </si>
  <si>
    <t>G9.3</t>
    <phoneticPr fontId="35" type="noConversion"/>
  </si>
  <si>
    <t>茶几 （大：800*380H ，小：600*510H ）</t>
    <phoneticPr fontId="35" type="noConversion"/>
  </si>
  <si>
    <t>檯面：岩板檯面，耐磨耐刮，耐髒；
腳：金屬材質
幾身：多層實木板基材，外面捫皮工藝，現代奢華。</t>
    <phoneticPr fontId="35" type="noConversion"/>
  </si>
  <si>
    <t>G10</t>
    <phoneticPr fontId="35" type="noConversion"/>
  </si>
  <si>
    <t>會客室（22層）</t>
    <phoneticPr fontId="35" type="noConversion"/>
  </si>
  <si>
    <t>G10.1</t>
    <phoneticPr fontId="35" type="noConversion"/>
  </si>
  <si>
    <t>接待沙發  L1150*W900*H900</t>
    <phoneticPr fontId="35" type="noConversion"/>
  </si>
  <si>
    <t>G10.2</t>
    <phoneticPr fontId="35" type="noConversion"/>
  </si>
  <si>
    <t>茶几 ∅500*580</t>
    <phoneticPr fontId="35" type="noConversion"/>
  </si>
  <si>
    <t>G11</t>
    <phoneticPr fontId="35" type="noConversion"/>
  </si>
  <si>
    <t>24人會議室（22層）</t>
    <phoneticPr fontId="35" type="noConversion"/>
  </si>
  <si>
    <t>G11.1</t>
    <phoneticPr fontId="35" type="noConversion"/>
  </si>
  <si>
    <t>會議條桌  L4800*W2000*H760</t>
    <phoneticPr fontId="35" type="noConversion"/>
  </si>
  <si>
    <t>1.木板：採用國家環保ENF級25MM厚實木顆粒板
2 . 腳架：前腳採用30*60MM蛋型冷軋鋼管，後腳採用25*50MM蛋型冷軋鋼管（壁厚1.2MM)
3.書網：採用φ14MM優質圓形不銹鋼管
4.上托：採用3.0MM壁厚優質冷軋鋼板經衝壓折彎工藝而成
5.連接杆：採用φ45MM優質圓形冷軋鋼管（壁厚1.2MM)
6.台架整體表面採用高溫靜電酸洗磷化噴塗處理
7.腳輪：採用φ50MM優質尼龍材質，萬向帶刹車輪</t>
    <phoneticPr fontId="35" type="noConversion"/>
  </si>
  <si>
    <t>G11.2</t>
    <phoneticPr fontId="35" type="noConversion"/>
  </si>
  <si>
    <t>1、面料：採用進口牛皮，皮面手感柔軟有韌性，耐拉耐磨，皮紋清晰。皮革厚度1.2-1.5MM，符合GB/T16799-2018《傢俱用皮革》HJ507-2009《環境標誌產品技術要求皮革和合成革》。
2、海綿：符合GB/T6343-2009《泡沫塑料及橡膠表觀密度的測定》，GB/T10802-2023《通用軟質聚氨酯泡沫塑料》，QB/T2280-2016《辦公傢俱辦公椅》標準。 
3、機構：採用傾仰鎖定機構，具有無級鎖定功能，傾仰達到125度。
4、框架：頭枕椅背板一體，內部弧形雙層木板+切割綿，軟硬搭配，即能保證產品的耐久性，又能充分體現椅子的坐感，20萬次衝壓耐欠測試不形變；</t>
    <phoneticPr fontId="35" type="noConversion"/>
  </si>
  <si>
    <t>G12</t>
    <phoneticPr fontId="35" type="noConversion"/>
  </si>
  <si>
    <t>12人、10人會議室（20層）</t>
    <phoneticPr fontId="35" type="noConversion"/>
  </si>
  <si>
    <t>G12.1</t>
    <phoneticPr fontId="35" type="noConversion"/>
  </si>
  <si>
    <t>12人會議桌 L3600*W1400*H740</t>
    <phoneticPr fontId="35" type="noConversion"/>
  </si>
  <si>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環保性高,無異味，抗菌、防潮防水、耐高溫，噴粉耐刮級別高。鋁合金開模腳架，設計感強。</t>
    <phoneticPr fontId="35" type="noConversion"/>
  </si>
  <si>
    <t>G12.2</t>
    <phoneticPr fontId="35" type="noConversion"/>
  </si>
  <si>
    <t>1、面料：採用進口牛皮，皮面手感柔軟有韌性，耐拉耐磨，皮紋清晰。皮革厚度1.2-1.5MM，符合GB/T16799-2018《傢俱用皮革》HJ507-2009《環境標誌產品技術要求皮革和合成革》要求。
2、海綿：符合GB/T6343-2009《泡沫塑料及橡膠表觀密度的測定》，GB/T10802-2023《通用軟質聚氨酯泡沫塑料》，QB/T2280-2016《辦公傢俱辦公椅》。
3、機構：採用傾仰鎖定機構，具有無級鎖定功能，傾仰達到125度。
4、框架：頭枕椅背板一體，內部弧形雙層木板，軟硬搭配，即能保證產品的耐久性，又能充分體現椅子的坐感；
5、配置：多功能底盤，鋁合金拋光五星腳，黑色靜音腳輪。</t>
    <phoneticPr fontId="35" type="noConversion"/>
  </si>
  <si>
    <t>G12.3</t>
    <phoneticPr fontId="35" type="noConversion"/>
  </si>
  <si>
    <t>10人會議室 3600*1400*750</t>
    <phoneticPr fontId="35" type="noConversion"/>
  </si>
  <si>
    <t>G12.4</t>
    <phoneticPr fontId="35" type="noConversion"/>
  </si>
  <si>
    <t>1.背架全新進口PA+玻纖，一體注塑成型 
2.靠背傾仰機構設計 
3.前後滑動扶手 靈活旋轉寫字板 
4.T1.5mm定制異型管，噴塗支架，金屬質感，穩固性強，可折疊收納,PA固定腳墊，後兩輪滑動；坐墊可翻轉、可折疊。</t>
    <phoneticPr fontId="35" type="noConversion"/>
  </si>
  <si>
    <t>G13</t>
    <phoneticPr fontId="35" type="noConversion"/>
  </si>
  <si>
    <t>茶水間圖書室（20層）</t>
    <phoneticPr fontId="35" type="noConversion"/>
  </si>
  <si>
    <t>G13.1</t>
    <phoneticPr fontId="35" type="noConversion"/>
  </si>
  <si>
    <t>茶水間單人沙發 L800*W850*H670</t>
    <phoneticPr fontId="35" type="noConversion"/>
  </si>
  <si>
    <t>G13.2</t>
    <phoneticPr fontId="35" type="noConversion"/>
  </si>
  <si>
    <t>茶水間三人沙發 L2500*W1000*H670</t>
    <phoneticPr fontId="35" type="noConversion"/>
  </si>
  <si>
    <t>G13.3</t>
    <phoneticPr fontId="35" type="noConversion"/>
  </si>
  <si>
    <t>茶水間組合沙發 L3800*W990*H670</t>
    <phoneticPr fontId="35" type="noConversion"/>
  </si>
  <si>
    <t>組</t>
    <phoneticPr fontId="35" type="noConversion"/>
  </si>
  <si>
    <t>G13.4</t>
    <phoneticPr fontId="35" type="noConversion"/>
  </si>
  <si>
    <t>G13.5</t>
    <phoneticPr fontId="35" type="noConversion"/>
  </si>
  <si>
    <t>茶水間小茶几 800*600*420</t>
    <phoneticPr fontId="35" type="noConversion"/>
  </si>
  <si>
    <t>架子：不銹鋼電鍍灰鈦 無指紋處理
檯面：大理石檯面</t>
    <phoneticPr fontId="35" type="noConversion"/>
  </si>
  <si>
    <t>G13.6</t>
    <phoneticPr fontId="35" type="noConversion"/>
  </si>
  <si>
    <t>茶水間吧台 3000*650*1050</t>
    <phoneticPr fontId="35" type="noConversion"/>
  </si>
  <si>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環保性高,無異味，抗菌、防潮防水、耐高溫，噴粉耐刮級別高，檯面斜邊處理，辦公舒適。五金踩踏腳架，噴塗處理。</t>
    <phoneticPr fontId="35" type="noConversion"/>
  </si>
  <si>
    <t>G13.7</t>
    <phoneticPr fontId="35" type="noConversion"/>
  </si>
  <si>
    <t>吧椅 L450*W440*H960</t>
    <phoneticPr fontId="35" type="noConversion"/>
  </si>
  <si>
    <t>G14</t>
    <phoneticPr fontId="35" type="noConversion"/>
  </si>
  <si>
    <t>20層簽約室（3間）</t>
    <phoneticPr fontId="35" type="noConversion"/>
  </si>
  <si>
    <t>G14.1</t>
    <phoneticPr fontId="35" type="noConversion"/>
  </si>
  <si>
    <t>簽約台 L2400*W1200*H74</t>
    <phoneticPr fontId="35" type="noConversion"/>
  </si>
  <si>
    <t>G14.2</t>
    <phoneticPr fontId="35" type="noConversion"/>
  </si>
  <si>
    <t>簽約椅、洽談椅</t>
    <phoneticPr fontId="35" type="noConversion"/>
  </si>
  <si>
    <t>1.網布:採用優質網布飾面，符合GB18401-2010《國家紡織產品基本安全技術規範》標準。
2.定型海綿:符合GB/T10802-2006《通用軟質聚醚型聚氨酯泡沫塑料》標準。
3.座、背內板（木材）:採用優質曲木板，符合GB/T 9846-2015《普通膠合板》標準。五金固定弓形腳：壁厚≥1.8mm，符合 GB/T3325-2024《金屬傢俱通用技術條件》標準，外觀金屬件塗層無漏噴，銹蝕和脫色、掉色現象，塗層應光滑均勻，色澤一致，無流掛、疙瘩、皺皮飛漆等缺陷。</t>
    <phoneticPr fontId="35" type="noConversion"/>
  </si>
  <si>
    <t>G15</t>
    <phoneticPr fontId="35" type="noConversion"/>
  </si>
  <si>
    <t>20層洽談室（2間）22層小會議室（1間）</t>
    <phoneticPr fontId="35" type="noConversion"/>
  </si>
  <si>
    <t>G15.1</t>
    <phoneticPr fontId="35" type="noConversion"/>
  </si>
  <si>
    <t>圓洽談台 ∅1200*750</t>
    <phoneticPr fontId="35" type="noConversion"/>
  </si>
  <si>
    <t>G15.2</t>
    <phoneticPr fontId="35" type="noConversion"/>
  </si>
  <si>
    <t>洽談椅 L500*W600*H780</t>
    <phoneticPr fontId="35" type="noConversion"/>
  </si>
  <si>
    <t>1.網布:採用優質網布飾面，符合GB18401-2010《國家紡織產品基本安全技術規範》標準。
2.高回彈海綿:符合GB/T10802-2006《通用軟質聚醚型聚氨酯泡沫塑料》標準。
3.座、背內板（木材）:採用優質曲木板，符合GB/T 9846-2015《普通膠合板》標準。五金固定弓形腳：壁厚≥1.8mm，符合 GB/T3325-2024《金屬傢俱通用技術條件》標準，外觀金屬件塗層無漏噴，銹蝕和脫色、掉色現象，塗層應光滑均勻，色澤一致，無流掛、疙瘩、皺皮飛漆等缺陷。</t>
    <phoneticPr fontId="35" type="noConversion"/>
  </si>
  <si>
    <t>G16</t>
    <phoneticPr fontId="35" type="noConversion"/>
  </si>
  <si>
    <t>20層公共區</t>
    <phoneticPr fontId="35" type="noConversion"/>
  </si>
  <si>
    <t>G16.1</t>
    <phoneticPr fontId="35" type="noConversion"/>
  </si>
  <si>
    <t>小弧位沙發 ∅2720*750</t>
    <phoneticPr fontId="35" type="noConversion"/>
  </si>
  <si>
    <t>G16.2</t>
    <phoneticPr fontId="35" type="noConversion"/>
  </si>
  <si>
    <t>小弧位沙發1 ∅6000*750</t>
    <phoneticPr fontId="35" type="noConversion"/>
  </si>
  <si>
    <t>G16.3</t>
    <phoneticPr fontId="35" type="noConversion"/>
  </si>
  <si>
    <t>小弧位沙發2 ∅4000*750</t>
    <phoneticPr fontId="35" type="noConversion"/>
  </si>
  <si>
    <t>G16.4</t>
    <phoneticPr fontId="35" type="noConversion"/>
  </si>
  <si>
    <t>小圓墩  500*480*380/490</t>
    <phoneticPr fontId="35" type="noConversion"/>
  </si>
  <si>
    <t>G16.5</t>
    <phoneticPr fontId="35" type="noConversion"/>
  </si>
  <si>
    <t>簽約台 ∅800*H750</t>
    <phoneticPr fontId="35" type="noConversion"/>
  </si>
  <si>
    <t>G16.6</t>
    <phoneticPr fontId="35" type="noConversion"/>
  </si>
  <si>
    <t>簽約椅 550*540*440/780</t>
    <phoneticPr fontId="35" type="noConversion"/>
  </si>
  <si>
    <t>定型海綿坐墊，羊絨飾面，白蠟木實木腳</t>
    <phoneticPr fontId="35" type="noConversion"/>
  </si>
  <si>
    <t>G17</t>
    <phoneticPr fontId="35" type="noConversion"/>
  </si>
  <si>
    <t>培訓室（20層）</t>
    <phoneticPr fontId="35" type="noConversion"/>
  </si>
  <si>
    <t>G17.1</t>
    <phoneticPr fontId="35" type="noConversion"/>
  </si>
  <si>
    <t>可升降講台 L760*W600*H1050</t>
    <phoneticPr fontId="35" type="noConversion"/>
  </si>
  <si>
    <t>1.檯面基材：採用“福人”“大亞”“豐林”同級別品牌E0級中密度纖維板，性能穩定，抗變形能力強，握釘力佳，可經過多次拆裝，承重力好，表面平整。按照GB/T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環保性高,無異味，抗菌、防潮防水、耐高溫，噴粉耐刮級別高。可升降五金腳架，高度調節，適合不同身高人群。</t>
    <phoneticPr fontId="35" type="noConversion"/>
  </si>
  <si>
    <t>G17.2</t>
    <phoneticPr fontId="35" type="noConversion"/>
  </si>
  <si>
    <t>培訓椅（帶翻轉寫字板）</t>
    <phoneticPr fontId="35" type="noConversion"/>
  </si>
  <si>
    <t>G18</t>
    <phoneticPr fontId="35" type="noConversion"/>
  </si>
  <si>
    <t>客服區（20層）</t>
    <phoneticPr fontId="35" type="noConversion"/>
  </si>
  <si>
    <t>G18.1</t>
    <phoneticPr fontId="35" type="noConversion"/>
  </si>
  <si>
    <t>異形組合沙發 4300*2900*650</t>
    <phoneticPr fontId="35" type="noConversion"/>
  </si>
  <si>
    <t>G18.2</t>
    <phoneticPr fontId="35" type="noConversion"/>
  </si>
  <si>
    <t>茶几組合 （大：800*310H   小：500*470H）</t>
    <phoneticPr fontId="35" type="noConversion"/>
  </si>
  <si>
    <t>檯面：岩板檯面，耐磨耐刮，耐髒；
幾身：多層實木板基材，外面捫馬鞍皮工藝，現代奢華。</t>
    <phoneticPr fontId="35" type="noConversion"/>
  </si>
  <si>
    <t>G18.3</t>
    <phoneticPr fontId="35" type="noConversion"/>
  </si>
  <si>
    <t>G19</t>
    <phoneticPr fontId="35" type="noConversion"/>
  </si>
  <si>
    <t>洽談室（20層）</t>
    <phoneticPr fontId="35" type="noConversion"/>
  </si>
  <si>
    <t>G19.1</t>
    <phoneticPr fontId="35" type="noConversion"/>
  </si>
  <si>
    <t>異形沙發 2900*1500*700</t>
    <phoneticPr fontId="35" type="noConversion"/>
  </si>
  <si>
    <t>G19.2</t>
    <phoneticPr fontId="35" type="noConversion"/>
  </si>
  <si>
    <t>單人沙發 730*710*920</t>
    <phoneticPr fontId="35" type="noConversion"/>
  </si>
  <si>
    <t>G19.3</t>
    <phoneticPr fontId="35" type="noConversion"/>
  </si>
  <si>
    <t>圓茶几 800*310H</t>
    <phoneticPr fontId="35" type="noConversion"/>
  </si>
  <si>
    <t>G19.4</t>
    <phoneticPr fontId="35" type="noConversion"/>
  </si>
  <si>
    <t>洽談桌 L1800*W1000*H750</t>
    <phoneticPr fontId="35" type="noConversion"/>
  </si>
  <si>
    <t>1.檯面基材：採用“福人”“大亞”“豐林”同級別品牌E0級中密度纖維板，性能穩定，抗變形能力強，握釘力佳，可經過多次拆裝，承重力好，表面平整。按照GB/T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環保性高,無異味，抗菌、防潮防水、耐高溫，噴粉耐刮級別高。鋁合金腳架，木紋轉印工藝。</t>
    <phoneticPr fontId="35" type="noConversion"/>
  </si>
  <si>
    <t>G19.5</t>
    <phoneticPr fontId="35" type="noConversion"/>
  </si>
  <si>
    <t>洽談椅</t>
    <phoneticPr fontId="35" type="noConversion"/>
  </si>
  <si>
    <t>G20</t>
    <phoneticPr fontId="35" type="noConversion"/>
  </si>
  <si>
    <t>接待處（20層）</t>
    <phoneticPr fontId="35" type="noConversion"/>
  </si>
  <si>
    <t>G20.1</t>
    <phoneticPr fontId="35" type="noConversion"/>
  </si>
  <si>
    <r>
      <t xml:space="preserve">第七章  </t>
    </r>
    <r>
      <rPr>
        <b/>
        <u/>
        <sz val="10"/>
        <rFont val="微软雅黑"/>
        <family val="2"/>
        <charset val="134"/>
      </rPr>
      <t> 傢具部份</t>
    </r>
    <r>
      <rPr>
        <b/>
        <sz val="10"/>
        <rFont val="微软雅黑"/>
        <family val="2"/>
        <charset val="134"/>
      </rPr>
      <t xml:space="preserve"> 合計金額: (澳門幣)</t>
    </r>
    <phoneticPr fontId="35" type="noConversion"/>
  </si>
  <si>
    <t>20樓    (提供整套冷氣系統( YORK )  供電(機電工程師計算)</t>
    <phoneticPr fontId="34" type="noConversion"/>
  </si>
  <si>
    <t>22樓    (提供整套冷氣系統( YORK )  供電(機電工程師計算)</t>
    <phoneticPr fontId="34" type="noConversion"/>
  </si>
  <si>
    <t>提供及安裝22 樓AND20 樓VRV 系統供電以及切配件</t>
    <phoneticPr fontId="34" type="noConversion"/>
  </si>
  <si>
    <r>
      <t>供裝13A及20A電位</t>
    </r>
    <r>
      <rPr>
        <sz val="10"/>
        <color theme="1"/>
        <rFont val="微软雅黑"/>
        <family val="2"/>
      </rPr>
      <t>(包喉管,插座面板)</t>
    </r>
    <phoneticPr fontId="34" type="noConversion"/>
  </si>
  <si>
    <t>22樓 (所有電量由合資格機電工程師計算)</t>
    <phoneticPr fontId="34" type="noConversion"/>
  </si>
  <si>
    <t>20樓(所有電量由合資格機電工程師計算)</t>
    <phoneticPr fontId="34" type="noConversion"/>
  </si>
  <si>
    <t>供應及安裝洗手間座廁來去水(提供TOTO 座廁) TOTO TORNADO FLUSH 超旋式沖水座廁或同級</t>
    <phoneticPr fontId="34" type="noConversion"/>
  </si>
  <si>
    <t>供應及安裝洗手間星盆來去水(提供TOTO 洗手盆或同級</t>
    <phoneticPr fontId="34" type="noConversion"/>
  </si>
  <si>
    <t>供應及安裝洗手間龍頭(提供TOTO 龍頭或同級</t>
    <phoneticPr fontId="34" type="noConversion"/>
  </si>
  <si>
    <t>供應及安裝洗手間尿兜(提供TOTO尿兜或同級</t>
    <phoneticPr fontId="34" type="noConversion"/>
  </si>
  <si>
    <t>于本【填寫投標價格之工程量表】'第九章-</t>
  </si>
  <si>
    <t>弱電系統項目'內,工程承攬人應參照各項說明內容,</t>
  </si>
  <si>
    <t>幷綜合現場實况、相關文件和規範資料等分析核算後才填報各指定細項</t>
    <phoneticPr fontId="35" type="noConversion"/>
  </si>
  <si>
    <t>可自行把應作補充之項目詳列于本【填寫投標價格之工程量表】'第九章</t>
  </si>
  <si>
    <t>其他補充項目'內和填寫相應的投標報價數量和金額,</t>
  </si>
  <si>
    <t>關于本【填寫投標價格之工程量表】內各章節細項當標示爲{暫定項目}</t>
  </si>
  <si>
    <t>時,定作人有權最終作出取消、維持或增/减工程量的决定,</t>
  </si>
  <si>
    <t>本工程承攬人必須無條件地完全配合執行,幷且在本工程竣工結算程序中</t>
    <phoneticPr fontId="35" type="noConversion"/>
  </si>
  <si>
    <t>包括但不限于對該項目數量和費用作出增加、維持、扣减處理等,</t>
  </si>
  <si>
    <t>本工程承包人無權利因上述定作人之决定而提出新增其他任何附加費用</t>
    <phoneticPr fontId="35" type="noConversion"/>
  </si>
  <si>
    <t>施幷達至竣工檢驗合格之標準,</t>
    <phoneticPr fontId="35" type="noConversion"/>
  </si>
  <si>
    <t>定作人提供之本《工程投標書》-第六部份【投標報價參考文件】</t>
  </si>
  <si>
    <t>僅供參考,本工程承攬人應結合本【填寫投標價格之工程量表】</t>
  </si>
  <si>
    <t>內注明之描述/解釋、結合現場實况條件、澳門現行相關法律法規和國際</t>
    <phoneticPr fontId="35" type="noConversion"/>
  </si>
  <si>
    <t>承攬人必須以包設計(註:即指爲合理實施本工程而有必要性出版之'設計</t>
    <phoneticPr fontId="35" type="noConversion"/>
  </si>
  <si>
    <t>圖'、'生産圖'、'施工圖'或一切適用之文件等)和包施工之模式實施</t>
    <phoneticPr fontId="35" type="noConversion"/>
  </si>
  <si>
    <t>弱電系統項目,幷包括但不限于提供一切所需工序和提供一切主/輔</t>
    <phoneticPr fontId="35" type="noConversion"/>
  </si>
  <si>
    <t>I1</t>
    <phoneticPr fontId="35" type="noConversion"/>
  </si>
  <si>
    <t>綜合布綫系統</t>
    <phoneticPr fontId="35" type="noConversion"/>
  </si>
  <si>
    <t>I.1.</t>
  </si>
  <si>
    <t>供應及安裝六類RJ45單口網絡插座NKFPL86F1SAW
參考品牌及型號：“Panduit”或同級</t>
    <phoneticPr fontId="35" type="noConversion"/>
  </si>
  <si>
    <t>供應及安裝六類RJ45雙口網絡插座NKFPL86F2SAW
參考品牌及型號：“Panduit”或同級</t>
    <phoneticPr fontId="35" type="noConversion"/>
  </si>
  <si>
    <t>供應及安裝無綫網絡（WIFI）插座NKFPL86F1SAW
參考品牌及型號：“Panduit”或同級</t>
    <phoneticPr fontId="35" type="noConversion"/>
  </si>
  <si>
    <t>供應及安裝Cat6網絡綫NUV6C04BU-VE
參考品牌及型號：“Panduit”或同級</t>
    <phoneticPr fontId="35" type="noConversion"/>
  </si>
  <si>
    <t>米</t>
    <phoneticPr fontId="35" type="noConversion"/>
  </si>
  <si>
    <t>供應及安裝六類配綫架（包含24個六類模塊）NKFPL24+NK688MBU
參考品牌及型號：“Panduit”或同級</t>
    <phoneticPr fontId="35" type="noConversion"/>
  </si>
  <si>
    <t>供應及安裝理線架WMPFSE
參考品牌及型號：“Panduit”或同級</t>
    <phoneticPr fontId="35" type="noConversion"/>
  </si>
  <si>
    <t>供應及安裝網絡跳線NKU6PC2MBU
參考品牌及型號：“Panduit”或同級</t>
    <phoneticPr fontId="35" type="noConversion"/>
  </si>
  <si>
    <t>供應及安裝48口POE交換機48PAS-PoESW-CloudEngineS5735-S48P4XE-V2
參考品牌及型號：“HUAWEI”或同級</t>
  </si>
  <si>
    <t>供應及安裝48口交換機48PAS-NonPoE-CloudEngineS5735-S48T4XE-V2
參考品牌及型號：“HUAWEI”或同級</t>
  </si>
  <si>
    <t>供應及安裝AC控制器WirelessController含Controller-APLicense
參考品牌及型號：“HUAWEI”或同級</t>
  </si>
  <si>
    <t>供應及安裝200x100mm橋架</t>
  </si>
  <si>
    <t>I2</t>
    <phoneticPr fontId="35" type="noConversion"/>
  </si>
  <si>
    <t xml:space="preserve">安防系統
</t>
  </si>
  <si>
    <t>I2.1</t>
    <phoneticPr fontId="35" type="noConversion"/>
  </si>
  <si>
    <t>供應及安裝閉路電視鏡頭DS-2CBG2EW-I(2.8mm)
Highqualityimagingwith4MPresolution
SupportHumanDetection
Wateranddustresistant(IP67)andvandalresistant(IK08)
參考品牌及型號：“hikvision”或同級</t>
  </si>
  <si>
    <r>
      <t>I2.2</t>
    </r>
    <r>
      <rPr>
        <sz val="11"/>
        <color theme="1"/>
        <rFont val="新細明體"/>
        <family val="2"/>
        <scheme val="minor"/>
      </rPr>
      <t/>
    </r>
  </si>
  <si>
    <t>供應及安裝48口POE交換機
參考品牌及型號：“hikvision”或同級</t>
  </si>
  <si>
    <t>供應及安裝8盘位NVRDS-D32NI-96D
Upto32-chIPcamerainputs
Upto2-ch@32MP/2-ch@24MP/4-ch@12MP/8-ch@8MP/16-ch@4MP/32-ch@1080pdecodingcapacity
Upto320Mbpsincomingbandwidthand400Mbpsoutgoingbandwidth
2HDMI(differentsource)and2VGA(differentsource)interfaces,8Kordual4Kvideooutputs
參考品牌及型號：“hikvision”或同級</t>
    <phoneticPr fontId="35" type="noConversion"/>
  </si>
  <si>
    <t>供應及安裝存儲HDD,ST10000NM017B,10TB,3.5",SATA
Industry-standard3.5-inchform-factorandSATAinterface
7200RPMPerformance,SATA6Gbit/sInterface
參考品牌及型號：“hikvision”或同級</t>
  </si>
  <si>
    <t>I3</t>
    <phoneticPr fontId="35" type="noConversion"/>
  </si>
  <si>
    <t xml:space="preserve">門禁系統
</t>
    <phoneticPr fontId="35" type="noConversion"/>
  </si>
  <si>
    <t>I3.1</t>
    <phoneticPr fontId="35" type="noConversion"/>
  </si>
  <si>
    <t>供應及安裝雙門門禁控制器DS-K2602T
參考品牌及型號：“hikvision”或同級</t>
    <phoneticPr fontId="35" type="noConversion"/>
  </si>
  <si>
    <t>供應及安裝單門門禁控制器DS-K2602T
參考品牌及型號：“hikvision”或同級</t>
  </si>
  <si>
    <t>供應及安裝門禁讀卡器DS-K1109DKB
參考品牌及型號：“hikvision”或同級</t>
  </si>
  <si>
    <t>供應及安裝單門磁吸DS-K4H250S
參考品牌及型號：“hikvision”或同級</t>
  </si>
  <si>
    <t>供應及安裝雙門磁吸DS-K4H250D
參考品牌及型號：“hikvision”或同級</t>
  </si>
  <si>
    <t>供應及安裝出門按鈕DS-K7P03A
參考品牌及型號：“hikvision”或同級</t>
    <phoneticPr fontId="35" type="noConversion"/>
  </si>
  <si>
    <t>供應及安裝電源線</t>
    <phoneticPr fontId="35" type="noConversion"/>
  </si>
  <si>
    <t>I4</t>
    <phoneticPr fontId="35" type="noConversion"/>
  </si>
  <si>
    <t>多媒體系統</t>
    <phoneticPr fontId="35" type="noConversion"/>
  </si>
  <si>
    <t>顯示系統</t>
    <phoneticPr fontId="35" type="noConversion"/>
  </si>
  <si>
    <t>項</t>
    <phoneticPr fontId="35" type="noConversion"/>
  </si>
  <si>
    <t>輔材</t>
    <phoneticPr fontId="35" type="noConversion"/>
  </si>
  <si>
    <t>供應會議室所需的機櫃及連接線、線材等</t>
    <phoneticPr fontId="35" type="noConversion"/>
  </si>
  <si>
    <t>20層14人會議室</t>
    <phoneticPr fontId="35" type="noConversion"/>
  </si>
  <si>
    <t>供應及安裝75寸智慧會議平板（包含支架、傳屏器、桌插等安裝附件）TV-S8175
整机屏幕采用≥75英寸DLED液晶屏，显示比例16:9，屏幕图像分辨率≥3840*2160，色彩度≥10bit,色域≥85%NTSC；可视角度≥178°，支持全高清4K系统图标显示；CPU等同或优于11代i3，内存≥8G、存储≥128G。
4.具有≥4800W高清摄像头，视场角≥118°，≥8个阵列麦克风，拾音距离≥12米。摄像头和麦克风为可拆卸模组，采用≥12个pogopin磁吸接口设计，无需额外接线，通过物理防护达到防止会议信息外泄；摄像头具有智能取景、发言人跟踪多种摄像模式。
參考品牌及型號：“ITC”或同級</t>
    <phoneticPr fontId="35" type="noConversion"/>
  </si>
  <si>
    <t>擴聲系統</t>
    <phoneticPr fontId="35" type="noConversion"/>
  </si>
  <si>
    <t>供應及安裝無綫話筒T-592UH
具有≥1台接收主機、≥2只手持發射機；頻率範圍等同或優于470MHz-510MHz、540MHz-590MHz、640MHz-690MHz、807MHz-830MHz四個頻段使用。
參考品牌及型號：“ITC”或同級</t>
    <phoneticPr fontId="35" type="noConversion"/>
  </si>
  <si>
    <t>供應及安裝數字調音台TS-20DM-12
機架式調音台≤3U，便于現場安裝；前面板具有≥7英寸電容多點觸控屏，觸控屏具有調節各輸入輸出通道音量、均衡器、壓縮器、噪聲門參數功能；可存儲≥99個自定義場景模式功能，便于不同場景快速調用。
參考品牌及型號：“ITC”或同級</t>
    <phoneticPr fontId="35" type="noConversion"/>
  </si>
  <si>
    <t>供應及安裝音頻處理器TS-DP440
輸入通道支持前級放大、信號發生器、擴展器、壓縮器、均衡器（≥12段參量均衡、可選10/15/31段圖示均衡器可調，圖示均衡器可用于單獨調節帶寬）、閃避器、AGC自動增益、AM自動混音功能（門限式、增益共享式）、AFC自適應反饋消除、AEC回聲消除、ANC噪聲消除、音頻矩陣；輸出通道支持均衡器（≥12段參量均衡、可選10/15/31段圖示均衡器可調，圖示均衡器可用于單獨調節帶寬）、延時器、分頻器、高低通濾波器、限幅器；基于嘯叫檢測門限更新法，具有移頻+陷波組合反饋抑制，可以使用≥24個可編程陷波點，可自由分配動態/靜態點，自動/手動切換。
參考品牌及型號：“ITC”或同級</t>
    <phoneticPr fontId="35" type="noConversion"/>
  </si>
  <si>
    <t>供應及安裝專業功放TC-D4200
輸出功率（20-20KHz/THD≤1％）：立體聲/幷聯8Ω：200W×4；立體聲/幷聯4Ω：400W×4；橋接16Ω：400W×2；橋接8Ω：750W×2。
輸入阻抗≤20kΩ平衡；頻率響應(@1W功率下）：等同或優于20Hz-20kHz/+0/-2dB；THD+N(@1/8功率下）≤0.05％；信噪比(A計權)≥95dB。
參考品牌及型號：“ITC”或同級</t>
    <phoneticPr fontId="35" type="noConversion"/>
  </si>
  <si>
    <t>供應及安裝音箱KP-606A
1.額定功率：≥100W
2.峰值功率：≥400W
3.頻率範圍（-10dB）：等同或優于90Hz-20KHz
4.靈敏度(±3dB)：≥92dB
5.低音單元：≥6.5"低音×1
6.高音單元：≥3"紙盆高音×1
參考品牌及型號：“ITC”或同級</t>
    <phoneticPr fontId="35" type="noConversion"/>
  </si>
  <si>
    <t>供應及安裝ZT支架TS-02CS
參考品牌及型號：“ITC”或同級</t>
    <phoneticPr fontId="35" type="noConversion"/>
  </si>
  <si>
    <t>供應及安裝音頻隔離器T-DG22
內置瞬態、浪涌抑制、抗靜電保護電路。
7.具有≥2路XLR輸入；具有≥2路XLR輸出
參考品牌及型號：“ITC”或同級</t>
    <phoneticPr fontId="35" type="noConversion"/>
  </si>
  <si>
    <t>供應及安裝ZT電源管理器TS-820
支持≥8通道電源時序打開/關閉，每路動作延時時間：≤1秒，支持遠程控制（上電+24V直流信號）8通道電源時序打開/關閉—當電源開關處于off位置時有效。支持配置CH1和CH2通道爲受控或不受控狀態。
參考品牌及型號：“ITC”或同級</t>
    <phoneticPr fontId="35" type="noConversion"/>
  </si>
  <si>
    <t>數字會討系統</t>
    <phoneticPr fontId="35" type="noConversion"/>
  </si>
  <si>
    <t>供應及安裝全數字會議系統主機TS-0300M
支持≥4096台有綫會議單元和≥300台無綫會議單元同時接入管理使用；支持≥4396台會議單元同時參與會議議程（簽到、表决、服務）以及發言控制。
參考品牌及型號：“ITC”或同級</t>
    <phoneticPr fontId="35" type="noConversion"/>
  </si>
  <si>
    <t>供應及安裝會議話筒處理器TS-3400MIX
具有智能混音、語音檢測功能，可以實現≥16個有綫會議單元+≥8個無綫會議單元同時開啓幷實時檢測會議單元dB值；當發言人講話時，會議單元自動調整爲發言狀態，幷聯動攝像機自動跟踪發言人；當發言人停止講話時，會議單元自動調整爲靜音狀態，幷聯動攝像機自動切換到全景畫面。
參考品牌及型號：“ITC”或同級</t>
    <phoneticPr fontId="35" type="noConversion"/>
  </si>
  <si>
    <t>供應及安裝會議話筒TS-W310D
話筒采用≥48kHz采樣率。
采用芯片架構及算法，話筒開機連接時間≤5秒。
參考品牌及型號：“ITC”或同級</t>
    <phoneticPr fontId="35" type="noConversion"/>
  </si>
  <si>
    <t>供應及安裝會議話筒TS-W310DA
話筒采用≥48kHz采樣率。
采用芯片架構及算法，話筒開機連接時間≤5秒。
參考品牌及型號：“ITC”或同級</t>
    <phoneticPr fontId="35" type="noConversion"/>
  </si>
  <si>
    <t>供應及安裝發射器TS-W116
遵從Wi-Fi6協議標準（IEEE802.11ax），向下兼容802.11a/b/g/n/ac/Wave2，支持MU-MIMO，允許AP同時接收多個終端發送數據，整機最大傳輸速率可達1.601Gbps
參考品牌及型號：“ITC”或同級</t>
    <phoneticPr fontId="35" type="noConversion"/>
  </si>
  <si>
    <t>供應及安裝充電箱TS-W180Q
參考品牌及型號：“ITC”或同級</t>
    <phoneticPr fontId="35" type="noConversion"/>
  </si>
  <si>
    <t>供應及安裝電源適配器TL-POE170S
1.充電箱具有≥10個USB接口，支持使用USB綫充電，提供5V/9V供電。一端連接充電器一端連接會議單元,支持≥18W快充。支持同時插滿所有USB接口。
2.
3.智能自動電路保護，所有USB插口均具有短路保護功能和自恢復功能。
參考品牌及型號：“普聯”或同級</t>
    <phoneticPr fontId="35" type="noConversion"/>
  </si>
  <si>
    <t>供應及安裝電池
每顆電池容量爲2400mAh
參考品牌及型號：“比克”或同級</t>
    <phoneticPr fontId="35" type="noConversion"/>
  </si>
  <si>
    <t>顆</t>
    <phoneticPr fontId="35" type="noConversion"/>
  </si>
  <si>
    <t>中控系統</t>
    <phoneticPr fontId="35" type="noConversion"/>
  </si>
  <si>
    <t>供應及安裝網絡中控主機TS-9100N
支持紅外控制、RS-232、RS-422、RS-485、UDP、TCP、telnet、http、MQTT以及SNMP等多種協議，兼容性强，可對接第三方設備。
主機具備≥4.3英寸觸摸彩屏、≥8路獨立可編程串口、≥8路獨立可編程IR紅外發射口、≥8路數字I/0控制口、≥8路弱電繼電器控制接口、≥1個NET網絡控制接口、≥1路TF卡接口。
參考品牌及型號：“ITC”或同級</t>
    <phoneticPr fontId="35" type="noConversion"/>
  </si>
  <si>
    <t>供應及安裝控制器TS-9101
1.具有≥8路自動、手動電源控制器，內置≥8個20A繼電器，負載能力≥4400W/單路；配合中控主機使用，用于控制燈光、電動投影幕、電動窗簾等會議室周邊設備。
2.每路繼電器都有三連接點的接綫柱,具有常開與常閉的功能。
3.具有複位按鍵，支持恢復到出廠的默認設置。具有1路網絡接口，支持通過網絡實現遠程控制。
4.具有設備運行狀態指示燈及≥8個繼電器的開關狀態指示燈。
5.具有鍵盤鎖（LOCK）功能。
參考品牌及型號：“ITC”或同級</t>
    <phoneticPr fontId="35" type="noConversion"/>
  </si>
  <si>
    <t>供應及安裝路由器AX3
1.最高傳輸速率3000M2.支持全千兆網口3.支持mesh4.支持雙頻段：2.4G/5G
參考品牌及型號：“HUAWEI”或同級</t>
  </si>
  <si>
    <t>供應及安裝平板電腦matepadpro11
1.處理器：高通驍龍2.運行內存：12G3.硬盤存儲：256G4.屏幕尺寸：11英寸5.系統：HarmonyOS
參考品牌及型號：“ITC”或同級</t>
  </si>
  <si>
    <t>錄播系統</t>
    <phoneticPr fontId="35" type="noConversion"/>
  </si>
  <si>
    <t>供應及安裝錄播主機TS-0650S
主機具備≥4路SDI信號輸入接口，支持≥1080P分辨率畫面采集，≥2路HDMI信號輸入接口，支持≥4K分辨率畫面采集，≥1路Type-C接口采集畫面，≥支持1080P分辨率畫面采集。具備≥4路HDMI信號輸出接口，其中≥1路4K分辨率以及音頻同時輸出；其他≥2路HDMI輸出口具備自定義通道畫面輸出。具備≥1路3.5mm音頻接口以及≥2路鳳凰端子采集音頻；≥1路3.5mm音頻接口以及≥2路鳳凰端子輸出音頻。
參考品牌及型號：“ITC”或同級</t>
    <phoneticPr fontId="35" type="noConversion"/>
  </si>
  <si>
    <t>供應及安裝攝像機TV-612XM
高清攝像機具備≥12倍光學變倍鏡頭，幷支持≥16倍數字變焦；采用1/2.8英寸、≥207萬有效像素的HDCMOS傳感器。
鏡頭焦距f3.5mm~42.3mm,光圈係數F1.8~F2.8。
支持1080P60，1080P59.94，1080P50，1080I60，1080I59.94，1080I50，1080P30，1080P29.97，1080P25，720P60，720P59.94，720P50分辨率，支持輸出幀率≥60幀/秒。
參考品牌及型號：“ITC”或同級</t>
    <phoneticPr fontId="35" type="noConversion"/>
  </si>
  <si>
    <t>20層220平培訓室</t>
  </si>
  <si>
    <t>供應及安裝戶內全彩LED屏（(顯示屏淨尺寸4.8m*2.08m=9.984平米，屏體分辨率：2400*1040）J2.0
LED顯示屏燈珠采用表貼三合一銅綫封裝；LED封裝形式：SMD1515黑燈；
LED顯示屏采用≤2.0mm點間距；
LED顯示屏模組尺寸320mm*160mm；
參考品牌及型號：“ITC”或同級</t>
    <phoneticPr fontId="46" type="noConversion"/>
  </si>
  <si>
    <t>供應及安裝視頻處理器TV-85F04
1.整機帶載≥260萬像素自定義輸出，寬度≥7680點，高度≥7680點；
2.具備輸入分辨率≥1920×1080@60Hz；
3.具備輸入信號EDID管理（自定義寬度≥2048點，高度≥1152點）；
4.具備≥4路千兆網口輸出，支持網口備份模式；
5.具備視頻源任意切換；
6.具備亮度和色溫調節；
7.具備顯示≥1路OSD字幕畫面；
8.具備畫面位置、大小可自由調節；
9.具備檢測輸入信號、輸出網口、接收卡通訊狀態，可在軟件端進行查看；
10.具備≥3路HDMI1.3輸入接口，≥1路DVI輸入接口；
參考品牌及型號：“ITC”或同級</t>
  </si>
  <si>
    <t>控制設備以及配套設備</t>
    <phoneticPr fontId="35" type="noConversion"/>
  </si>
  <si>
    <t>供應及安裝主機TV-6820S
主機具備≥11個輸入卡槽，≥5個輸出卡槽，搭配相應板卡支持≥4096*2160@60fps、RGB4:4:4；同時具備≥1個預覽卡槽和≥1個回顯卡槽，不占用輸入輸出卡槽，回顯卡支持通過HDMI視頻接口輸出監控，分辨率支持≥1920*1080@60fps。
支持台標設置功能，可設置文字台標或圖片台標；支持底圖設置功能，可上傳≥8K分辨率的圖片作爲大屏底圖顯示；以及支持字幕顯示功能，用戶可自定義字幕內容，字幕可設置靜態或動態顯示，可調整滾動速度、滾動模式，以及可調整字幕的大小、位置、背景顔色、字體顔色、字體、對齊方式。
參考品牌及型號：“ITC”或同級</t>
    <phoneticPr fontId="35" type="noConversion"/>
  </si>
  <si>
    <t>供應及安裝拼矩Windows客戶端管理軟件V3.149
軟件支持運行在Windows764位及以上操作系統，支持對系統進行可視化管理、信號切換、畫面叠加、畫中畫、畫面拼接、畫面漫游、畫面放大/縮小、畫面移動/關閉等操作，支持對顯示控制區域實時監控；支持多用戶多平臺同步操作。
參考品牌及型號：“ITC”或同級</t>
  </si>
  <si>
    <t>供應及安裝預監卡TV-6802PV
1.最大支持64路輸入圖像預覽功能；
2.支持網口通信；
3.接口：≥RJ45*1。
參考品牌及型號：“ITC”或同級</t>
    <phoneticPr fontId="35" type="noConversion"/>
  </si>
  <si>
    <t>塊</t>
    <phoneticPr fontId="35" type="noConversion"/>
  </si>
  <si>
    <t>供應及安裝輸入卡TV-6804HI
1.接口類型：HDMI1.4
2.接口數量：≥4
3.輸入信號：HDMI
4.最高分辨率：優于或等于4096*2160@30Hz
參考品牌及型號：“ITC”或同級</t>
    <phoneticPr fontId="35" type="noConversion"/>
  </si>
  <si>
    <t>供應及安裝輸入卡TV-6802HI-4K60
1.具有≥2路HDMI母接口輸入和≥2路3.5mm音頻座，支持音頻單獨傳輸，模擬音頻與HDMI內嵌音頻支持選擇輸入。
2.具備無縫切換功能，切換過程無閃爍、無黑屏。
3.支持斷電現場切換記憶保護功能，ESD靜電保護功能。
4.支持分辨率≥4096×2160P@60Hz。
參考品牌及型號：“ITC”或同級</t>
    <phoneticPr fontId="35" type="noConversion"/>
  </si>
  <si>
    <t>供應及安裝輸出卡TV-6804HO
1.接口類型：HDMI1.4
2.接口數量：≥4
3.輸出信號：HDMI
4.最高分辨率：優于或等于4096*2160@30Hz
參考品牌及型號：“ITC”或同級</t>
    <phoneticPr fontId="35" type="noConversion"/>
  </si>
  <si>
    <t>供應及安裝輸出卡TV-6804DO
1.接口類型：DVI-D
2.接口數量：≥4
3.輸出信號：DVI
4.最高分辨率：優于或等于1920*1200@60Hz
參考品牌及型號：“ITC”或同級</t>
    <phoneticPr fontId="35" type="noConversion"/>
  </si>
  <si>
    <t>供應及安裝配電櫃KZX
1.額定功率：≥10kW，輸出路數：≥3路；
2.輸入電壓：三相五綫制AC380V±10%，頻率50Hz±5%；
3.輸出電壓：單相220VAC；
4.具備過流、短路、斷路、過載、浪涌電氣保護措施；
5.具備實體按鍵、手持遙控器、電腦遠控多種控制方式；
參考品牌及型號：“ITC”或同級</t>
    <phoneticPr fontId="35" type="noConversion"/>
  </si>
  <si>
    <t>供應及安裝臺式電腦510S
1.處理器：I5處理器2.內存：16G3.硬盤：1TBSSD4.系統：Windows（正版）5.包含21.45英寸顯示器（分辨率：4K）6.顯存2G，輸出3840*2160@30Hz
參考品牌及型號：“聯想”或同級</t>
  </si>
  <si>
    <t>供應及安裝無綫話筒T-592ULC
接收機前面板具有≥2個顯示屏、≥2個編碼旋鈕、≥2個頻率掃描實體按鍵、≥2個紅外對頻實體按鍵、≥1個電源開關按鍵、≥1個二合一指示燈（紅外發射管+對頻指示燈）；後面板具有≥1個LINE-OUT接口、≥2個XLR-OUT接口、≥2個BNC接口、≥1個DC接口。發射機具有≥1個顯示屏、≥4個實體按鍵（包括≥1個靜音鍵、≥1個音量减少鍵、≥1個音量增加鍵、≥1個電源開關鍵）、≥1個電源狀態指示燈、≥1個靜音指示燈、≥1×Type-C充電接口。
參考品牌及型號：“ITC”或同級</t>
    <phoneticPr fontId="35" type="noConversion"/>
  </si>
  <si>
    <t>供應及安裝充電底座T-59CDZ
設備接口：具有≥2個Type-C多功能充電孔位（兼容手持話筒和腰包機）、≥2×級聯接口、≥1×RJ45接口、≥4×AA電池充電接口（帶狀態指示）；≥1個顯示屏。
參考品牌及型號：“ITC”或同級</t>
    <phoneticPr fontId="35" type="noConversion"/>
  </si>
  <si>
    <t>智能充電管理軟件V3.173
智能充電管理軟件集成充電底座、手持麥克風和腰包機等設備，提供可視化實時監控功能，能够實時查看設備的充電狀態，幷且支持日志管理和在綫固件升級功能。爲用戶提供更便捷、高效和安全的電源管理體驗，延長移動設備的續航時間，减少充電時長，保護設備和用戶的安全，提升移動生活的便利性和可持續性。
參考品牌及型號：“ITC”或同級</t>
    <phoneticPr fontId="35" type="noConversion"/>
  </si>
  <si>
    <t>供應及安裝天綫分配器T-59FP
1.具備≥2個天綫輸入接口，支持接收天綫信號，實現分配多路射頻信號的效果。
2.具備放大射頻信號，補償因信號功率被分配至多個輸出而造成的插入損耗。
3.具備≥2個天綫級聯接口，支持無限制級聯分配器，可實現擴展無綫話筒的目的。
4.具備≥4個直流電源輸出接口，支持給≥4台接收機供電，减少適配器數量和免去繁瑣布綫。
參考品牌及型號：“ITC”或同級</t>
    <phoneticPr fontId="35" type="noConversion"/>
  </si>
  <si>
    <t xml:space="preserve">供應及安裝話筒天綫T-59TS
1.射頻頻率範圍等同或優于470～950MHz
2.駐波比：≤2.0
3.輸入阻抗：≤50Ω
4.指向性：≥180度指向
參考品牌及型號：“ITC”或同級
</t>
    <phoneticPr fontId="35" type="noConversion"/>
  </si>
  <si>
    <t>供應及安裝話筒TS-302DM
1.換能方式：電容式
2.咪杆數量：雙咪杆
3.頻率響應等同或優于50Hz-18kHz
4.指向性：超心型指向
5.輸出阻抗（歐姆）：≤1200Ω平衡
6.供電電壓：≥48V
參考品牌及型號：“ITC”或同級</t>
    <phoneticPr fontId="35" type="noConversion"/>
  </si>
  <si>
    <t>供應及安裝數字調音台TS-24PD-12
具有≥10.1英寸1280x800電容觸摸屏、數字編碼器以及按鍵構成的操作面板。
具有≥17個電動推子，電動推子可操控：≥1個LR主聲道推子、≥16個通道推子。
支持中英文界面切換，且無需重啓。
參考品牌及型號：“ITC”或同級</t>
    <phoneticPr fontId="35" type="noConversion"/>
  </si>
  <si>
    <t>供應及安裝音頻處理器TS-DP1212
後面板具有≥12路綫路音頻鳳凰端子平衡輸入接口（具有48V幻象供電）、≥12路綫路音頻鳳凰端子平衡輸出接口、≥1個撥碼開關、≥1個RJ45接口、≥1個RS232接口、≥1個RS485接口、≥8個可編程GPIO控制接口、≥1個接地柱；前面板具有≥2.0英寸IPS真彩顯示屏、≥1個編碼旋鈕、≥1個USB存儲設備接口。
參考品牌及型號：“ITC”或同級</t>
    <phoneticPr fontId="35" type="noConversion"/>
  </si>
  <si>
    <t>供應及安裝監聽音箱TS-M525P
1.雙放大器有源揚聲器系統，低音揚聲器≥70W峰值功率，高音揚聲器≥50W峰值功率；≥1"軟球頂高音喇叭，≥5.25"複合玻璃纖維低音喇叭。
2.0°相位聲音響應。
3.具有低失真反射端口，精密指向性高音波導。
4.頻響範圍等同或優于50Hz-20kHz
5.最大聲壓級≥107dB
6.總功率(D類功放)≥120W，高音≥50W，低音≥70w
8.低音微調、高音微調支持-1.5dB/0dB/+1.5dB
參考品牌及型號：“ITC”或同級</t>
    <phoneticPr fontId="35" type="noConversion"/>
  </si>
  <si>
    <t>對</t>
    <phoneticPr fontId="35" type="noConversion"/>
  </si>
  <si>
    <t>供應及安裝專業主音箱TS-612
1.阻抗：8Ω
2.頻響：50Hz~20KHz
3.額定功率：350W
4.峰值功率：1400W
5.靈敏度：99dB/W/M
6.最大聲壓級（額定/峰值）：124dB/131dB
7.覆蓋角度：(H)80°(V)60°
8.高音：1.7"壓縮高音單元×1
9.低音：12"低音×1
10.尺寸(HxWxD)：560x360x380mm
11.重量：19.2Kg
參考品牌及型號：“ITC”或同級</t>
    <phoneticPr fontId="35" type="noConversion"/>
  </si>
  <si>
    <t>供應及安裝ZT支架TS-02A
參考品牌及型號：“ITC”或同級</t>
    <phoneticPr fontId="35" type="noConversion"/>
  </si>
  <si>
    <t>供應及安裝專業功放TC-2700B
標準≤1U機櫃式設計；采用PFC+開關電源+D類數字功放設計方案；輸出功率：立體聲@8Ω：≥700W×2；立體聲@4Ω：≥1000W×2；橋接@16Ω：≥1400W；橋接@8Ω：≥2000W。
參考品牌及型號：“ITC”或同級</t>
    <phoneticPr fontId="35" type="noConversion"/>
  </si>
  <si>
    <t>供應及安裝專業輔助音箱TS-610
1.阻抗：8Ω
2.頻響：55Hz-20kHz
3.額定功率：300W
4.峰值功率：1200W
5.靈敏度：98dB/W/m
6.最大聲壓級（額定/峰值）：123dB/129dB
7.覆蓋角度：(H)80°(V)60°
8.高音：1.4"壓縮高音單元×1
9.低音：10"低音×1
10.尺寸(H×W×D)mm：512×322×295mm
11.重量：15.2kg
參考品牌及型號：“ITC”或同級</t>
    <phoneticPr fontId="35" type="noConversion"/>
  </si>
  <si>
    <t>供應及安裝專業功放TC-D4500
采用高效PFC+開關電源+D類數字功放設計方案。
采用DSP處理器，具有壓縮器、限幅器、擴展器、參量均衡、矩陣路由、延時器、高低通處理等多種DSP處理功能。
參考品牌及型號：“ITC”或同級</t>
    <phoneticPr fontId="35" type="noConversion"/>
  </si>
  <si>
    <t>智能中控系統</t>
    <phoneticPr fontId="35" type="noConversion"/>
  </si>
  <si>
    <t>供應及安裝觸摸屏TS-9110B
設備采用操作系統等同或優于Android11，顯示器≥10.1英寸，顯示畫面≥1920*1200分辨率，顯示屏≥10點觸控，攝像頭像素≥500W。
參考品牌及型號：“ITC”或同級</t>
    <phoneticPr fontId="35" type="noConversion"/>
  </si>
  <si>
    <t>供應及安裝平板電腦matepadpro11
1.處理器：高通驍龍2.運行內存：12G3.硬盤存儲：256G4.屏幕尺寸：11英寸5.系統：HarmonyOS
參考品牌及型號：“ITC”或同級</t>
    <phoneticPr fontId="35" type="noConversion"/>
  </si>
  <si>
    <t>供應及安裝路由器AX3
1.最高傳輸速率3000M2.支持全千兆網口3.支持mesh4.支持雙頻段：2.4G/5G
參考品牌及型號：“HUAWEI”或同級</t>
    <phoneticPr fontId="35" type="noConversion"/>
  </si>
  <si>
    <t>高清錄播系統</t>
    <phoneticPr fontId="35" type="noConversion"/>
  </si>
  <si>
    <t>供應及安裝錄播主機TS-06504K
具備≥6路HDMI信號輸入接口，全HDMI接口視頻≥4K分辨率畫面采集，具備≥1路Type-C接口采集畫面，≥1080P分辨率采集畫面。具備≥4路HDMI信號輸出接口，其中≥2路4K分辨率以及音頻同時輸出；其他≥2路HDMI輸出口具備自定義通道畫面輸出。具備≥1路3.5mm音頻接口以及≥2路鳳凰端子采集音頻；≥1路3.5mm音頻接口以及≥2路鳳凰端子輸出音頻。
參考品牌及型號：“ITC”或同級</t>
    <phoneticPr fontId="35" type="noConversion"/>
  </si>
  <si>
    <t>供應及安裝攝像機TV-630H4K
1.攝像機采用≥1/1.8英寸、≥842萬像素的UHDCMOS傳感器，可輸出分辨率≥4K@60的畫面，幷具備≥30倍光學變倍鏡頭。
2.鏡頭焦距≥30x,f=7.1mm～210mm，F1.61～F5.19。
3.具備RS232和RS485串口，支持預置位數量≥255個，預置位精度：≤0.1°。
4.≥59.2°~2.5°；支持水平轉動範圍：≥-170°～+170°，垂直轉動範圍：≥-30°～+90°，水平轉動速度範圍：水平：≥1.7°~100°/s，俯仰：≥1.7°~69.9°/s。
5.具備重力傳感器，支持圖像自動翻轉功能。
6.支持AAC、G711音頻編碼。
7.具備≥1路HDMI輸出接口、≥1路3G-SDI輸出接口、≥1路USB3.0輸出接口、≥1路網絡接口，具備≥1路3.5mm音頻輸入接口和≥1路3.5mm音頻輸出接口，HDMI或3G-SDI與USB、LAN可同時輸出≥3路高清數字信號。
參考品牌及型號：“ITC”或同級</t>
    <phoneticPr fontId="35" type="noConversion"/>
  </si>
  <si>
    <t>遠程會議系統</t>
    <phoneticPr fontId="35" type="noConversion"/>
  </si>
  <si>
    <t>供應及安裝高清視頻終端NT90MB
1.采用分体式结构，内置硬件视频处理单元，支持双系统（Linux/Android）。
2.支持ITU-TH.323、SIP标准协议，具有良好的兼容性；支持H.239、BFCP双流协议，主辅流皆可达到≥4K60；同时主辅屏均可输出≥4K60分辨率信号。
參考品牌及型號：“ITC”或同級</t>
    <phoneticPr fontId="35" type="noConversion"/>
  </si>
  <si>
    <t>22層24人會議室</t>
  </si>
  <si>
    <t>供應及安裝75寸智慧會議平板（包含支架、傳屏器、桌插等安裝附件）TV-S8175
整机屏幕采用≥75英寸DLED液晶屏，显示比例16:9，屏幕图像分辨率≥3840*2160，色彩度≥10bit,色域≥85%NTSC；可视角度≥178°，支持全高清4K系统图标显示；CPU等同或优于11代i3，内存≥8G、存储≥128G。
4.具有≥4800W高清摄像头，视场角≥118°，≥8个阵列麦克风，拾音距离≥12米。摄像头和麦克风为可拆卸模组，采用≥12个pogopin磁吸接口设计，无需额外接线，通过物理防护达到防止会议信息外泄；摄像头具有智能取景、发言人跟踪多种摄像模式。
參考品牌及型號：“ITC”或同級</t>
  </si>
  <si>
    <t>供應及安裝天綫分配器T-59FP
1.具備≥2個天綫輸入接口，支持接收天綫信號，實現分配多路射頻信號的效果。
2.具備放大射頻信號，補償因信號功率被分配至多個輸出而造成的插入損耗。
3.具備≥2個天綫級聯接口，支持無限制級聯分配器，可實現擴展無綫話筒的目的。
4.具備≥4個直流電源輸出接口，支持給≥4台接收機供電，减少適配器數量和免去繁瑣布綫。</t>
    <phoneticPr fontId="35" type="noConversion"/>
  </si>
  <si>
    <t>供應及安裝音頻處理器TS-DP880
后面板具有≥8路线路音频凤凰端子平衡输入接口（具有48V幻象供电）、≥8路线路音频凤凰端子平衡输出接口、≥1个拨码开关、≥1个RJ45接口、≥1个RS232接口、≥1个RS485接口、≥8个可编程GPIO控制接口、≥1个接地柱；前面板具有≥2.0英寸IPS真彩显示屏、≥1个编码旋钮、≥1个USB存储设备接口。
输入通道支持前级放大、信号发生器、扩展器、压缩器、均衡器（≥12段参量均衡、可选10/15/31段图示均衡器可调，图示均衡器可用于单独调节带宽）、闪避器、AGC自动增益、AM自动混音功能（门限式、增益共享式）、AFC自适应反馈消除、AEC回声消除、ANC噪声消除、音频矩阵；输出通道支持均衡器（≥12段参量均衡、可选10/15/31段图示均衡器可调，图示均衡器可用于单独调节带宽）、延时器、分频器、高低通滤波器、限幅器；基于啸叫检测门限更新法，具有移频+陷波组合反馈抑制，可以使用≥24个可编程陷波点，可自由分配动态/静态点，自动/手动切换。</t>
    <phoneticPr fontId="35" type="noConversion"/>
  </si>
  <si>
    <t>供應及安裝專業音箱TS-608A
1.阻抗≤8Ω
2.频响等同或优于65Hz~20KHz
3.额定功率≥150W
4.灵敏度≥95dB/W/M
5.水平覆盖角≥80°，垂直覆盖角≥60°
6.高音≥3"锥形高音单元×1
7.低音≥8"低音×1
參考品牌及型號：“ITC”或同級</t>
    <phoneticPr fontId="35" type="noConversion"/>
  </si>
  <si>
    <t>供應及安裝ZT支架TS-02C
參考品牌及型號：“ITC”或同級</t>
    <phoneticPr fontId="35" type="noConversion"/>
  </si>
  <si>
    <t>I5</t>
    <phoneticPr fontId="35" type="noConversion"/>
  </si>
  <si>
    <t>機房系統</t>
    <phoneticPr fontId="35" type="noConversion"/>
  </si>
  <si>
    <t>I5.1</t>
    <phoneticPr fontId="35" type="noConversion"/>
  </si>
  <si>
    <t>供應及安裝M型機架-600mm(W)*1350mm(D)*2000mm(H)-42U-有彈開前門、有底板、前門爲玻璃門</t>
    <phoneticPr fontId="35" type="noConversion"/>
  </si>
  <si>
    <t>I5.2</t>
    <phoneticPr fontId="35" type="noConversion"/>
  </si>
  <si>
    <t>供應及安裝PDU2000-32-1PH-20/4-M1-20*C13+4*C19-全高竪裝-帶工業連接器-配套安裝板使用</t>
    <phoneticPr fontId="35" type="noConversion"/>
  </si>
  <si>
    <t>I5.3</t>
    <phoneticPr fontId="35" type="noConversion"/>
  </si>
  <si>
    <t>5kvaUPS連電池備點 30分鐘</t>
  </si>
  <si>
    <t>台</t>
    <phoneticPr fontId="35" type="noConversion"/>
  </si>
  <si>
    <t>工程名稱：中國人壽保險有限公司辦公室裝修工程</t>
    <phoneticPr fontId="34" type="noConversion"/>
  </si>
  <si>
    <t>G.第九章 弱電系統項目</t>
  </si>
  <si>
    <r>
      <rPr>
        <b/>
        <sz val="10"/>
        <rFont val="微軟正黑體"/>
        <family val="2"/>
      </rPr>
      <t xml:space="preserve">第八章  </t>
    </r>
    <r>
      <rPr>
        <b/>
        <u/>
        <sz val="10"/>
        <rFont val="微軟正黑體"/>
        <family val="2"/>
      </rPr>
      <t> 弱電系統</t>
    </r>
    <r>
      <rPr>
        <b/>
        <sz val="10"/>
        <rFont val="微軟正黑體"/>
        <family val="2"/>
      </rPr>
      <t xml:space="preserve"> 合計金額: (澳門幣)</t>
    </r>
    <phoneticPr fontId="34" type="noConversion"/>
  </si>
  <si>
    <t>I4.1</t>
  </si>
  <si>
    <t>I4.1.1</t>
  </si>
  <si>
    <t>I4.1.2</t>
  </si>
  <si>
    <t>I4.1.3</t>
  </si>
  <si>
    <t>I4.1.4</t>
  </si>
  <si>
    <t>I4.1.5</t>
  </si>
  <si>
    <t>I4.1.6</t>
  </si>
  <si>
    <t>I4.2</t>
  </si>
  <si>
    <t>I4.2.1</t>
  </si>
  <si>
    <t>I4.2.2</t>
  </si>
  <si>
    <t>I4.3.3</t>
  </si>
  <si>
    <t>I4.2.3</t>
  </si>
  <si>
    <r>
      <t>I4.2.</t>
    </r>
    <r>
      <rPr>
        <sz val="10"/>
        <rFont val="微软雅黑"/>
        <family val="2"/>
        <charset val="134"/>
      </rPr>
      <t>4</t>
    </r>
  </si>
  <si>
    <r>
      <t>I4.2.</t>
    </r>
    <r>
      <rPr>
        <sz val="10"/>
        <rFont val="微软雅黑"/>
        <family val="2"/>
        <charset val="134"/>
      </rPr>
      <t>5</t>
    </r>
  </si>
  <si>
    <r>
      <t>I4.2.</t>
    </r>
    <r>
      <rPr>
        <sz val="10"/>
        <rFont val="微软雅黑"/>
        <family val="2"/>
        <charset val="134"/>
      </rPr>
      <t>6</t>
    </r>
  </si>
  <si>
    <r>
      <t>I4.2.</t>
    </r>
    <r>
      <rPr>
        <sz val="10"/>
        <rFont val="微软雅黑"/>
        <family val="2"/>
        <charset val="134"/>
      </rPr>
      <t>7</t>
    </r>
  </si>
  <si>
    <t>I4.3</t>
  </si>
  <si>
    <t>I4.3.1</t>
  </si>
  <si>
    <t>I4.3.2</t>
  </si>
  <si>
    <t>供應及安裝ZT電源管理器TS-820
支持≥8通道電源時序打開/關閉，每路動作延時時間：≤1秒，支持遠程控制（上電+24V直流信號）8通道電源時序打開/關閉—當電源開關處于off位置時有效。支持配置CH1和CH2通道爲受控或不受控狀態。
參考品牌及型號：“ITC”或同級</t>
  </si>
  <si>
    <t>數字會議系統</t>
  </si>
  <si>
    <t>I4.3.4</t>
  </si>
  <si>
    <t>I4.3.5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</si>
</sst>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0_ "/>
    <numFmt numFmtId="165" formatCode="0.0_);[Red]\(0.0\)"/>
    <numFmt numFmtId="166" formatCode="0_ "/>
    <numFmt numFmtId="167" formatCode="0.0_ "/>
    <numFmt numFmtId="168" formatCode="0.00_);[Red]\(0.00\)"/>
  </numFmts>
  <fonts count="49">
    <font>
      <sz val="10"/>
      <color rgb="FF000000"/>
      <name val="Times New Roman"/>
      <charset val="204"/>
    </font>
    <font>
      <sz val="10"/>
      <color rgb="FF000000"/>
      <name val="微軟正黑體"/>
      <family val="2"/>
    </font>
    <font>
      <sz val="10"/>
      <color rgb="FF000000"/>
      <name val="Times New Roman"/>
      <family val="1"/>
    </font>
    <font>
      <sz val="10"/>
      <name val="微軟正黑體"/>
      <family val="2"/>
    </font>
    <font>
      <sz val="10"/>
      <color rgb="FF000000"/>
      <name val="微软雅黑"/>
      <family val="2"/>
    </font>
    <font>
      <sz val="10"/>
      <name val="微軟正黑體"/>
      <family val="2"/>
    </font>
    <font>
      <b/>
      <sz val="10"/>
      <name val="微軟正黑體"/>
      <family val="2"/>
    </font>
    <font>
      <b/>
      <sz val="10"/>
      <name val="微軟正黑體"/>
      <family val="2"/>
    </font>
    <font>
      <sz val="10"/>
      <name val="Times New Roman"/>
      <family val="1"/>
    </font>
    <font>
      <sz val="10"/>
      <color rgb="FF000000"/>
      <name val="微軟正黑體"/>
      <family val="2"/>
    </font>
    <font>
      <sz val="10"/>
      <color theme="1"/>
      <name val="微軟正黑體"/>
      <family val="2"/>
    </font>
    <font>
      <b/>
      <sz val="10"/>
      <color theme="1"/>
      <name val="微軟正黑體"/>
      <family val="2"/>
    </font>
    <font>
      <b/>
      <sz val="10"/>
      <color rgb="FF000000"/>
      <name val="微軟正黑體"/>
      <family val="2"/>
    </font>
    <font>
      <sz val="10"/>
      <name val="微软雅黑"/>
      <family val="2"/>
    </font>
    <font>
      <sz val="10"/>
      <color theme="1"/>
      <name val="微软雅黑"/>
      <family val="2"/>
    </font>
    <font>
      <b/>
      <sz val="10"/>
      <name val="微软雅黑"/>
      <family val="2"/>
    </font>
    <font>
      <b/>
      <sz val="10"/>
      <color rgb="FF000000"/>
      <name val="微软雅黑"/>
      <family val="2"/>
    </font>
    <font>
      <sz val="10"/>
      <color rgb="FF000000"/>
      <name val="Times New Roman"/>
      <family val="1"/>
    </font>
    <font>
      <b/>
      <sz val="11"/>
      <name val="微軟正黑體"/>
      <family val="2"/>
    </font>
    <font>
      <sz val="10"/>
      <name val="微軟正黑體"/>
      <family val="2"/>
    </font>
    <font>
      <b/>
      <sz val="12"/>
      <name val="微軟正黑體"/>
      <family val="2"/>
    </font>
    <font>
      <sz val="10"/>
      <name val="微軟正黑體"/>
      <family val="2"/>
    </font>
    <font>
      <b/>
      <sz val="10"/>
      <name val="微軟正黑體"/>
      <family val="2"/>
    </font>
    <font>
      <sz val="10"/>
      <name val="Times New Roman"/>
      <family val="1"/>
    </font>
    <font>
      <sz val="10"/>
      <name val="Arial"/>
      <family val="2"/>
    </font>
    <font>
      <sz val="12"/>
      <name val="宋体"/>
    </font>
    <font>
      <b/>
      <u/>
      <sz val="10"/>
      <name val="微软雅黑"/>
      <family val="2"/>
    </font>
    <font>
      <b/>
      <sz val="10"/>
      <name val="宋体"/>
    </font>
    <font>
      <u/>
      <sz val="10"/>
      <name val="Times New Roman"/>
      <family val="1"/>
    </font>
    <font>
      <b/>
      <u/>
      <sz val="10"/>
      <name val="微軟正黑體"/>
      <family val="2"/>
    </font>
    <font>
      <sz val="10"/>
      <name val="Microsoft YaHei UI"/>
      <family val="2"/>
    </font>
    <font>
      <u/>
      <sz val="10"/>
      <name val="微軟正黑體"/>
      <family val="2"/>
    </font>
    <font>
      <sz val="10"/>
      <name val="宋体"/>
    </font>
    <font>
      <b/>
      <sz val="10"/>
      <name val="微軟正黑體"/>
      <family val="2"/>
      <charset val="136"/>
    </font>
    <font>
      <sz val="9"/>
      <name val="細明體"/>
      <family val="3"/>
      <charset val="136"/>
    </font>
    <font>
      <sz val="9"/>
      <name val="宋体"/>
      <family val="3"/>
      <charset val="134"/>
    </font>
    <font>
      <sz val="9"/>
      <name val="新細明體"/>
      <family val="1"/>
      <charset val="136"/>
    </font>
    <font>
      <sz val="10"/>
      <name val="微软雅黑"/>
      <family val="2"/>
      <charset val="134"/>
    </font>
    <font>
      <sz val="10"/>
      <name val="微軟正黑體"/>
      <family val="2"/>
      <charset val="136"/>
    </font>
    <font>
      <sz val="10"/>
      <color rgb="FF000000"/>
      <name val="微软雅黑"/>
      <family val="2"/>
      <charset val="134"/>
    </font>
    <font>
      <b/>
      <sz val="10"/>
      <name val="微软雅黑"/>
      <family val="2"/>
      <charset val="134"/>
    </font>
    <font>
      <b/>
      <sz val="10"/>
      <color rgb="FF000000"/>
      <name val="微软雅黑"/>
      <family val="2"/>
      <charset val="134"/>
    </font>
    <font>
      <b/>
      <u/>
      <sz val="10"/>
      <name val="微软雅黑"/>
      <family val="2"/>
      <charset val="134"/>
    </font>
    <font>
      <sz val="10"/>
      <name val="微软雅黑 Light"/>
      <family val="2"/>
      <charset val="134"/>
    </font>
    <font>
      <sz val="10"/>
      <color rgb="FF000000"/>
      <name val="微软雅黑 Light"/>
      <family val="2"/>
      <charset val="134"/>
    </font>
    <font>
      <sz val="11"/>
      <color theme="1"/>
      <name val="新細明體"/>
      <family val="2"/>
      <scheme val="minor"/>
    </font>
    <font>
      <sz val="9"/>
      <name val="新細明體"/>
      <family val="3"/>
      <charset val="134"/>
      <scheme val="minor"/>
    </font>
    <font>
      <sz val="10"/>
      <color theme="1"/>
      <name val="宋体"/>
      <family val="3"/>
      <charset val="134"/>
    </font>
    <font>
      <sz val="10"/>
      <color theme="1"/>
      <name val="微软雅黑 Light"/>
      <family val="2"/>
      <charset val="134"/>
    </font>
  </fonts>
  <fills count="2">
    <fill>
      <patternFill patternType="none"/>
    </fill>
    <fill>
      <patternFill patternType="gray125"/>
    </fill>
  </fills>
  <borders count="58">
    <border>
      <left/>
      <right/>
      <top/>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auto="1"/>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auto="1"/>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auto="1"/>
      </right>
      <top/>
      <bottom/>
      <diagonal/>
    </border>
    <border>
      <left style="thin">
        <color rgb="FF000000"/>
      </left>
      <right style="thin">
        <color rgb="FF000000"/>
      </right>
      <top/>
      <bottom style="thin">
        <color auto="1"/>
      </bottom>
      <diagonal/>
    </border>
    <border>
      <left style="thin">
        <color rgb="FF000000"/>
      </left>
      <right/>
      <top/>
      <bottom style="thin">
        <color auto="1"/>
      </bottom>
      <diagonal/>
    </border>
    <border>
      <left style="thin">
        <color rgb="FF000000"/>
      </left>
      <right style="thin">
        <color auto="1"/>
      </right>
      <top/>
      <bottom style="thin">
        <color auto="1"/>
      </bottom>
      <diagonal/>
    </border>
    <border>
      <left style="thin">
        <color rgb="FF000000"/>
      </left>
      <right/>
      <top/>
      <bottom style="thin">
        <color rgb="FF000000"/>
      </bottom>
      <diagonal/>
    </border>
    <border>
      <left style="thin">
        <color auto="1"/>
      </left>
      <right/>
      <top/>
      <bottom style="thin">
        <color auto="1"/>
      </bottom>
      <diagonal/>
    </border>
    <border>
      <left style="thin">
        <color auto="1"/>
      </left>
      <right style="thin">
        <color auto="1"/>
      </right>
      <top/>
      <bottom style="thin">
        <color rgb="FF000000"/>
      </bottom>
      <diagonal/>
    </border>
    <border>
      <left style="thin">
        <color auto="1"/>
      </left>
      <right style="thin">
        <color auto="1"/>
      </right>
      <top/>
      <bottom style="thin">
        <color auto="1"/>
      </bottom>
      <diagonal/>
    </border>
    <border>
      <left/>
      <right/>
      <top/>
      <bottom style="thin">
        <color rgb="FF000000"/>
      </bottom>
      <diagonal/>
    </border>
    <border>
      <left style="thin">
        <color rgb="FF000000"/>
      </left>
      <right style="thin">
        <color auto="1"/>
      </right>
      <top/>
      <bottom style="thin">
        <color rgb="FF000000"/>
      </bottom>
      <diagonal/>
    </border>
    <border>
      <left/>
      <right/>
      <top style="thin">
        <color rgb="FF000000"/>
      </top>
      <bottom style="thin">
        <color rgb="FF000000"/>
      </bottom>
      <diagonal/>
    </border>
    <border>
      <left style="thin">
        <color auto="1"/>
      </left>
      <right style="thin">
        <color auto="1"/>
      </right>
      <top/>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right style="thin">
        <color auto="1"/>
      </right>
      <top/>
      <bottom/>
      <diagonal/>
    </border>
    <border>
      <left style="thin">
        <color auto="1"/>
      </left>
      <right style="thin">
        <color auto="1"/>
      </right>
      <top style="thin">
        <color auto="1"/>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auto="1"/>
      </right>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auto="1"/>
      </top>
      <bottom/>
      <diagonal/>
    </border>
    <border>
      <left style="thin">
        <color rgb="FF000000"/>
      </left>
      <right/>
      <top style="thin">
        <color auto="1"/>
      </top>
      <bottom/>
      <diagonal/>
    </border>
    <border>
      <left style="thin">
        <color rgb="FF000000"/>
      </left>
      <right style="thin">
        <color auto="1"/>
      </right>
      <top style="thin">
        <color auto="1"/>
      </top>
      <bottom/>
      <diagonal/>
    </border>
    <border>
      <left/>
      <right style="thin">
        <color rgb="FF000000"/>
      </right>
      <top/>
      <bottom style="thin">
        <color rgb="FF000000"/>
      </bottom>
      <diagonal/>
    </border>
    <border>
      <left style="thin">
        <color auto="1"/>
      </left>
      <right style="thin">
        <color rgb="FF000000"/>
      </right>
      <top style="thin">
        <color auto="1"/>
      </top>
      <bottom style="thin">
        <color rgb="FF000000"/>
      </bottom>
      <diagonal/>
    </border>
    <border>
      <left style="thin">
        <color rgb="FF000000"/>
      </left>
      <right/>
      <top style="thin">
        <color auto="1"/>
      </top>
      <bottom style="thin">
        <color rgb="FF000000"/>
      </bottom>
      <diagonal/>
    </border>
    <border>
      <left/>
      <right style="thin">
        <color rgb="FF000000"/>
      </right>
      <top style="thin">
        <color auto="1"/>
      </top>
      <bottom style="thin">
        <color rgb="FF000000"/>
      </bottom>
      <diagonal/>
    </border>
    <border>
      <left style="thin">
        <color rgb="FF000000"/>
      </left>
      <right style="thin">
        <color rgb="FF000000"/>
      </right>
      <top style="thin">
        <color auto="1"/>
      </top>
      <bottom style="thin">
        <color rgb="FF000000"/>
      </bottom>
      <diagonal/>
    </border>
    <border>
      <left style="thin">
        <color auto="1"/>
      </left>
      <right/>
      <top style="thin">
        <color auto="1"/>
      </top>
      <bottom style="thin">
        <color rgb="FF000000"/>
      </bottom>
      <diagonal/>
    </border>
    <border>
      <left style="thin">
        <color rgb="FF000000"/>
      </left>
      <right style="thin">
        <color auto="1"/>
      </right>
      <top style="thin">
        <color auto="1"/>
      </top>
      <bottom style="thin">
        <color rgb="FF000000"/>
      </bottom>
      <diagonal/>
    </border>
    <border>
      <left style="thin">
        <color auto="1"/>
      </left>
      <right style="thin">
        <color rgb="FF000000"/>
      </right>
      <top style="thin">
        <color rgb="FF000000"/>
      </top>
      <bottom/>
      <diagonal/>
    </border>
    <border>
      <left style="thin">
        <color auto="1"/>
      </left>
      <right/>
      <top style="thin">
        <color rgb="FF000000"/>
      </top>
      <bottom/>
      <diagonal/>
    </border>
    <border>
      <left/>
      <right style="thin">
        <color rgb="FF000000"/>
      </right>
      <top/>
      <bottom style="thin">
        <color auto="1"/>
      </bottom>
      <diagonal/>
    </border>
    <border>
      <left style="thin">
        <color auto="1"/>
      </left>
      <right style="thin">
        <color rgb="FF000000"/>
      </right>
      <top/>
      <bottom style="thin">
        <color rgb="FF000000"/>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auto="1"/>
      </right>
      <top style="thin">
        <color rgb="FF000000"/>
      </top>
      <bottom style="thin">
        <color auto="1"/>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auto="1"/>
      </left>
      <right/>
      <top style="thin">
        <color rgb="FF000000"/>
      </top>
      <bottom style="thin">
        <color rgb="FF000000"/>
      </bottom>
      <diagonal/>
    </border>
    <border>
      <left style="thin">
        <color auto="1"/>
      </left>
      <right/>
      <top/>
      <bottom style="thin">
        <color rgb="FF000000"/>
      </bottom>
      <diagonal/>
    </border>
    <border>
      <left style="thin">
        <color auto="1"/>
      </left>
      <right style="thin">
        <color auto="1"/>
      </right>
      <top style="thin">
        <color auto="1"/>
      </top>
      <bottom style="thin">
        <color auto="1"/>
      </bottom>
      <diagonal/>
    </border>
  </borders>
  <cellStyleXfs count="6">
    <xf numFmtId="0" fontId="0" fillId="0" borderId="0"/>
    <xf numFmtId="43" fontId="2" fillId="0" borderId="0" applyFont="0" applyFill="0" applyBorder="0" applyAlignment="0" applyProtection="0"/>
    <xf numFmtId="0" fontId="24" fillId="0" borderId="0"/>
    <xf numFmtId="0" fontId="2" fillId="0" borderId="0"/>
    <xf numFmtId="0" fontId="25" fillId="0" borderId="0">
      <alignment vertical="center"/>
    </xf>
    <xf numFmtId="0" fontId="25" fillId="0" borderId="0">
      <alignment vertical="center"/>
    </xf>
  </cellStyleXfs>
  <cellXfs count="483">
    <xf numFmtId="0" fontId="0" fillId="0" borderId="0" xfId="0" applyAlignment="1">
      <alignment horizontal="left" vertical="top"/>
    </xf>
    <xf numFmtId="0" fontId="1" fillId="0" borderId="0" xfId="3" applyFont="1" applyAlignment="1">
      <alignment horizontal="left" vertical="center"/>
    </xf>
    <xf numFmtId="0" fontId="2" fillId="0" borderId="0" xfId="3" applyAlignment="1">
      <alignment horizontal="left" vertical="center"/>
    </xf>
    <xf numFmtId="0" fontId="2" fillId="0" borderId="0" xfId="3" applyAlignment="1">
      <alignment horizontal="center" vertical="center"/>
    </xf>
    <xf numFmtId="43" fontId="2" fillId="0" borderId="0" xfId="1" applyFont="1" applyAlignment="1">
      <alignment horizontal="left" vertical="center"/>
    </xf>
    <xf numFmtId="40" fontId="2" fillId="0" borderId="0" xfId="1" applyNumberFormat="1" applyFont="1" applyAlignment="1">
      <alignment horizontal="left" vertical="center"/>
    </xf>
    <xf numFmtId="0" fontId="3" fillId="0" borderId="0" xfId="3" applyFont="1" applyAlignment="1">
      <alignment vertical="center"/>
    </xf>
    <xf numFmtId="0" fontId="2" fillId="0" borderId="0" xfId="3" applyAlignment="1">
      <alignment vertical="center" wrapText="1"/>
    </xf>
    <xf numFmtId="40" fontId="4" fillId="0" borderId="0" xfId="0" applyNumberFormat="1" applyFont="1" applyAlignment="1">
      <alignment horizontal="right" vertical="center"/>
    </xf>
    <xf numFmtId="0" fontId="3" fillId="0" borderId="1" xfId="3" applyFont="1" applyBorder="1" applyAlignment="1">
      <alignment vertical="center"/>
    </xf>
    <xf numFmtId="0" fontId="2" fillId="0" borderId="1" xfId="3" applyBorder="1" applyAlignment="1">
      <alignment vertical="center" wrapText="1"/>
    </xf>
    <xf numFmtId="0" fontId="2" fillId="0" borderId="1" xfId="3" applyBorder="1" applyAlignment="1">
      <alignment horizontal="left" vertical="center"/>
    </xf>
    <xf numFmtId="0" fontId="2" fillId="0" borderId="1" xfId="3" applyBorder="1" applyAlignment="1">
      <alignment horizontal="center" vertical="center"/>
    </xf>
    <xf numFmtId="40" fontId="4" fillId="0" borderId="1" xfId="0" applyNumberFormat="1" applyFont="1" applyBorder="1" applyAlignment="1">
      <alignment horizontal="right" vertical="center"/>
    </xf>
    <xf numFmtId="0" fontId="3" fillId="0" borderId="0" xfId="0" applyFont="1" applyAlignment="1">
      <alignment horizontal="left" vertical="center"/>
    </xf>
    <xf numFmtId="0" fontId="2" fillId="0" borderId="0" xfId="3" applyAlignment="1">
      <alignment horizontal="left" vertical="center" wrapText="1"/>
    </xf>
    <xf numFmtId="43" fontId="0" fillId="0" borderId="0" xfId="1" applyFont="1" applyAlignment="1">
      <alignment horizontal="center" vertical="center" wrapText="1"/>
    </xf>
    <xf numFmtId="40" fontId="2" fillId="0" borderId="0" xfId="3" applyNumberFormat="1" applyAlignment="1">
      <alignment horizontal="left" vertical="center"/>
    </xf>
    <xf numFmtId="0" fontId="5" fillId="0" borderId="0" xfId="3" applyFont="1" applyAlignment="1">
      <alignment horizontal="left" vertical="center"/>
    </xf>
    <xf numFmtId="0" fontId="2" fillId="0" borderId="0" xfId="3" applyAlignment="1">
      <alignment horizontal="center" vertical="center" wrapText="1"/>
    </xf>
    <xf numFmtId="40" fontId="2" fillId="0" borderId="0" xfId="3" applyNumberFormat="1" applyAlignment="1">
      <alignment horizontal="left" vertical="top"/>
    </xf>
    <xf numFmtId="164" fontId="2" fillId="0" borderId="0" xfId="3" applyNumberFormat="1" applyAlignment="1">
      <alignment horizontal="right" vertical="top"/>
    </xf>
    <xf numFmtId="0" fontId="5" fillId="0" borderId="2" xfId="3" applyFont="1" applyBorder="1" applyAlignment="1">
      <alignment horizontal="center" vertical="center" wrapText="1"/>
    </xf>
    <xf numFmtId="0" fontId="5" fillId="0" borderId="3" xfId="3" applyFont="1" applyBorder="1" applyAlignment="1">
      <alignment horizontal="center" vertical="center" wrapText="1"/>
    </xf>
    <xf numFmtId="43" fontId="2" fillId="0" borderId="3" xfId="1" applyFont="1" applyBorder="1" applyAlignment="1">
      <alignment horizontal="center" vertical="center" wrapText="1"/>
    </xf>
    <xf numFmtId="40" fontId="2" fillId="0" borderId="4" xfId="1" applyNumberFormat="1" applyFont="1" applyBorder="1" applyAlignment="1">
      <alignment horizontal="center" vertical="center" wrapText="1"/>
    </xf>
    <xf numFmtId="0" fontId="1" fillId="0" borderId="5" xfId="3" applyFont="1" applyBorder="1" applyAlignment="1">
      <alignment horizontal="left" vertical="center" wrapText="1"/>
    </xf>
    <xf numFmtId="0" fontId="5" fillId="0" borderId="6" xfId="3" applyFont="1" applyBorder="1" applyAlignment="1">
      <alignment horizontal="left" vertical="center" wrapText="1"/>
    </xf>
    <xf numFmtId="0" fontId="2" fillId="0" borderId="5" xfId="3" applyBorder="1" applyAlignment="1">
      <alignment horizontal="center" vertical="center" wrapText="1"/>
    </xf>
    <xf numFmtId="43" fontId="2" fillId="0" borderId="6" xfId="1" applyFont="1" applyBorder="1" applyAlignment="1">
      <alignment vertical="center" wrapText="1"/>
    </xf>
    <xf numFmtId="40" fontId="2" fillId="0" borderId="7" xfId="1" applyNumberFormat="1" applyFont="1" applyBorder="1" applyAlignment="1">
      <alignment vertical="center" wrapText="1"/>
    </xf>
    <xf numFmtId="0" fontId="5" fillId="0" borderId="8" xfId="3" applyFont="1" applyBorder="1" applyAlignment="1">
      <alignment horizontal="right" vertical="center" wrapText="1"/>
    </xf>
    <xf numFmtId="0" fontId="5" fillId="0" borderId="9" xfId="3" applyFont="1" applyBorder="1" applyAlignment="1">
      <alignment horizontal="left" vertical="center" wrapText="1"/>
    </xf>
    <xf numFmtId="0" fontId="2" fillId="0" borderId="8" xfId="3" applyBorder="1" applyAlignment="1">
      <alignment horizontal="center" vertical="center" wrapText="1"/>
    </xf>
    <xf numFmtId="43" fontId="2" fillId="0" borderId="9" xfId="1" applyFont="1" applyBorder="1" applyAlignment="1">
      <alignment vertical="center" wrapText="1"/>
    </xf>
    <xf numFmtId="40" fontId="2" fillId="0" borderId="10" xfId="1" applyNumberFormat="1" applyFont="1" applyBorder="1" applyAlignment="1">
      <alignment vertical="center" wrapText="1"/>
    </xf>
    <xf numFmtId="0" fontId="2" fillId="0" borderId="9" xfId="3" applyBorder="1" applyAlignment="1">
      <alignment horizontal="left" vertical="center" wrapText="1"/>
    </xf>
    <xf numFmtId="0" fontId="5" fillId="0" borderId="8" xfId="3" applyFont="1" applyBorder="1" applyAlignment="1">
      <alignment horizontal="left" vertical="center" wrapText="1"/>
    </xf>
    <xf numFmtId="0" fontId="6" fillId="0" borderId="8" xfId="3" applyFont="1" applyBorder="1" applyAlignment="1">
      <alignment horizontal="left" vertical="center" wrapText="1"/>
    </xf>
    <xf numFmtId="0" fontId="6" fillId="0" borderId="9" xfId="3" applyFont="1" applyBorder="1" applyAlignment="1">
      <alignment horizontal="left" vertical="center" wrapText="1"/>
    </xf>
    <xf numFmtId="0" fontId="1" fillId="0" borderId="8" xfId="3" applyFont="1" applyBorder="1" applyAlignment="1">
      <alignment horizontal="center" vertical="center" wrapText="1"/>
    </xf>
    <xf numFmtId="43" fontId="1" fillId="0" borderId="9" xfId="1" applyFont="1" applyBorder="1" applyAlignment="1">
      <alignment vertical="center" wrapText="1"/>
    </xf>
    <xf numFmtId="0" fontId="5" fillId="0" borderId="9" xfId="3" applyFont="1" applyBorder="1" applyAlignment="1">
      <alignment horizontal="left" vertical="center"/>
    </xf>
    <xf numFmtId="0" fontId="5" fillId="0" borderId="8" xfId="3" applyFont="1" applyBorder="1" applyAlignment="1">
      <alignment horizontal="center" vertical="center" wrapText="1"/>
    </xf>
    <xf numFmtId="0" fontId="5" fillId="0" borderId="11" xfId="3" applyFont="1" applyBorder="1" applyAlignment="1">
      <alignment horizontal="left" vertical="center" wrapText="1"/>
    </xf>
    <xf numFmtId="0" fontId="5" fillId="0" borderId="12" xfId="3" applyFont="1" applyBorder="1" applyAlignment="1">
      <alignment horizontal="left" vertical="center" wrapText="1"/>
    </xf>
    <xf numFmtId="0" fontId="1" fillId="0" borderId="11" xfId="3" applyFont="1" applyBorder="1" applyAlignment="1">
      <alignment horizontal="center" vertical="center" wrapText="1"/>
    </xf>
    <xf numFmtId="43" fontId="1" fillId="0" borderId="12" xfId="1" applyFont="1" applyBorder="1" applyAlignment="1">
      <alignment vertical="center" wrapText="1"/>
    </xf>
    <xf numFmtId="40" fontId="2" fillId="0" borderId="13" xfId="1" applyNumberFormat="1" applyFont="1" applyBorder="1" applyAlignment="1">
      <alignment vertical="center" wrapText="1"/>
    </xf>
    <xf numFmtId="0" fontId="7" fillId="0" borderId="9" xfId="3" applyFont="1" applyBorder="1" applyAlignment="1">
      <alignment horizontal="left" vertical="center" wrapText="1"/>
    </xf>
    <xf numFmtId="43" fontId="1" fillId="0" borderId="9" xfId="1" applyFont="1" applyFill="1" applyBorder="1" applyAlignment="1">
      <alignment vertical="center" wrapText="1"/>
    </xf>
    <xf numFmtId="43" fontId="1" fillId="0" borderId="12" xfId="1" applyFont="1" applyFill="1" applyBorder="1" applyAlignment="1">
      <alignment vertical="center" wrapText="1"/>
    </xf>
    <xf numFmtId="0" fontId="7" fillId="0" borderId="8" xfId="3" applyFont="1" applyBorder="1" applyAlignment="1">
      <alignment horizontal="left" vertical="center" wrapText="1"/>
    </xf>
    <xf numFmtId="0" fontId="3" fillId="0" borderId="8" xfId="3" applyFont="1" applyBorder="1" applyAlignment="1">
      <alignment horizontal="left" vertical="center" wrapText="1"/>
    </xf>
    <xf numFmtId="0" fontId="5" fillId="0" borderId="14" xfId="3" applyFont="1" applyBorder="1" applyAlignment="1">
      <alignment horizontal="left" vertical="center" wrapText="1"/>
    </xf>
    <xf numFmtId="0" fontId="1" fillId="0" borderId="15" xfId="3" applyFont="1" applyBorder="1" applyAlignment="1">
      <alignment horizontal="left" vertical="center" wrapText="1"/>
    </xf>
    <xf numFmtId="0" fontId="1" fillId="0" borderId="16" xfId="3" applyFont="1" applyBorder="1" applyAlignment="1">
      <alignment horizontal="center" vertical="center" wrapText="1"/>
    </xf>
    <xf numFmtId="0" fontId="1" fillId="0" borderId="17" xfId="3" applyFont="1" applyBorder="1" applyAlignment="1">
      <alignment horizontal="center" vertical="center" wrapText="1"/>
    </xf>
    <xf numFmtId="43" fontId="1" fillId="0" borderId="18" xfId="1" applyFont="1" applyBorder="1" applyAlignment="1">
      <alignment vertical="center" wrapText="1"/>
    </xf>
    <xf numFmtId="40" fontId="2" fillId="0" borderId="19" xfId="1" applyNumberFormat="1" applyFont="1" applyBorder="1" applyAlignment="1">
      <alignment vertical="center" wrapText="1"/>
    </xf>
    <xf numFmtId="40" fontId="2" fillId="0" borderId="4" xfId="1" applyNumberFormat="1" applyFont="1" applyBorder="1" applyAlignment="1">
      <alignment horizontal="left" vertical="center" wrapText="1"/>
    </xf>
    <xf numFmtId="0" fontId="9" fillId="0" borderId="0" xfId="3" applyFont="1" applyAlignment="1">
      <alignment horizontal="left" vertical="center"/>
    </xf>
    <xf numFmtId="0" fontId="9" fillId="0" borderId="0" xfId="3" applyFont="1" applyAlignment="1">
      <alignment horizontal="center" vertical="center"/>
    </xf>
    <xf numFmtId="43" fontId="1" fillId="0" borderId="0" xfId="1" applyFont="1" applyAlignment="1">
      <alignment horizontal="left" vertical="center"/>
    </xf>
    <xf numFmtId="40" fontId="1" fillId="0" borderId="0" xfId="1" applyNumberFormat="1" applyFont="1" applyAlignment="1">
      <alignment horizontal="left" vertical="center"/>
    </xf>
    <xf numFmtId="0" fontId="9" fillId="0" borderId="0" xfId="3" applyFont="1" applyAlignment="1">
      <alignment vertical="center" wrapText="1"/>
    </xf>
    <xf numFmtId="40" fontId="9" fillId="0" borderId="0" xfId="0" applyNumberFormat="1" applyFont="1" applyAlignment="1">
      <alignment horizontal="right" vertical="center"/>
    </xf>
    <xf numFmtId="0" fontId="5" fillId="0" borderId="1" xfId="3" applyFont="1" applyBorder="1" applyAlignment="1">
      <alignment vertical="center"/>
    </xf>
    <xf numFmtId="0" fontId="1" fillId="0" borderId="1" xfId="3" applyFont="1" applyBorder="1" applyAlignment="1">
      <alignment vertical="center" wrapText="1"/>
    </xf>
    <xf numFmtId="0" fontId="1" fillId="0" borderId="1" xfId="3" applyFont="1" applyBorder="1" applyAlignment="1">
      <alignment horizontal="left" vertical="center"/>
    </xf>
    <xf numFmtId="0" fontId="1" fillId="0" borderId="1" xfId="3" applyFont="1" applyBorder="1" applyAlignment="1">
      <alignment horizontal="center" vertical="center"/>
    </xf>
    <xf numFmtId="40" fontId="1" fillId="0" borderId="1" xfId="0" applyNumberFormat="1" applyFont="1" applyBorder="1" applyAlignment="1">
      <alignment horizontal="right" vertical="center"/>
    </xf>
    <xf numFmtId="0" fontId="5" fillId="0" borderId="0" xfId="0" applyFont="1" applyAlignment="1">
      <alignment horizontal="left" vertical="center"/>
    </xf>
    <xf numFmtId="0" fontId="1" fillId="0" borderId="0" xfId="3" applyFont="1" applyAlignment="1">
      <alignment horizontal="left" vertical="center" wrapText="1"/>
    </xf>
    <xf numFmtId="43" fontId="1" fillId="0" borderId="0" xfId="1" applyFont="1" applyAlignment="1">
      <alignment horizontal="center" vertical="center" wrapText="1"/>
    </xf>
    <xf numFmtId="40" fontId="1" fillId="0" borderId="0" xfId="3" applyNumberFormat="1" applyFont="1" applyAlignment="1">
      <alignment horizontal="left" vertical="center"/>
    </xf>
    <xf numFmtId="0" fontId="1" fillId="0" borderId="0" xfId="3" applyFont="1" applyAlignment="1">
      <alignment horizontal="center" vertical="center" wrapText="1"/>
    </xf>
    <xf numFmtId="164" fontId="1" fillId="0" borderId="0" xfId="3" applyNumberFormat="1" applyFont="1" applyAlignment="1">
      <alignment horizontal="right" vertical="center"/>
    </xf>
    <xf numFmtId="43" fontId="1" fillId="0" borderId="3" xfId="1" applyFont="1" applyBorder="1" applyAlignment="1">
      <alignment horizontal="center" vertical="center" wrapText="1"/>
    </xf>
    <xf numFmtId="40" fontId="1" fillId="0" borderId="4" xfId="1" applyNumberFormat="1" applyFont="1" applyBorder="1" applyAlignment="1">
      <alignment horizontal="center" vertical="center" wrapText="1"/>
    </xf>
    <xf numFmtId="0" fontId="1" fillId="0" borderId="5" xfId="3" applyFont="1" applyBorder="1" applyAlignment="1">
      <alignment horizontal="center" vertical="center" wrapText="1"/>
    </xf>
    <xf numFmtId="43" fontId="1" fillId="0" borderId="6" xfId="1" applyFont="1" applyBorder="1" applyAlignment="1">
      <alignment vertical="center" wrapText="1"/>
    </xf>
    <xf numFmtId="40" fontId="1" fillId="0" borderId="7" xfId="1" applyNumberFormat="1" applyFont="1" applyBorder="1" applyAlignment="1">
      <alignment vertical="center" wrapText="1"/>
    </xf>
    <xf numFmtId="40" fontId="1" fillId="0" borderId="10" xfId="1" applyNumberFormat="1" applyFont="1" applyBorder="1" applyAlignment="1">
      <alignment vertical="center" wrapText="1"/>
    </xf>
    <xf numFmtId="0" fontId="1" fillId="0" borderId="9" xfId="3" applyFont="1" applyBorder="1" applyAlignment="1">
      <alignment horizontal="left" vertical="center" wrapText="1"/>
    </xf>
    <xf numFmtId="165" fontId="7" fillId="0" borderId="21" xfId="2" applyNumberFormat="1" applyFont="1" applyBorder="1" applyAlignment="1">
      <alignment horizontal="center" vertical="center"/>
    </xf>
    <xf numFmtId="0" fontId="7" fillId="0" borderId="21" xfId="2" applyFont="1" applyBorder="1" applyAlignment="1">
      <alignment horizontal="left" vertical="center" wrapText="1"/>
    </xf>
    <xf numFmtId="166" fontId="7" fillId="0" borderId="21" xfId="2" applyNumberFormat="1" applyFont="1" applyBorder="1" applyAlignment="1">
      <alignment horizontal="center" vertical="center"/>
    </xf>
    <xf numFmtId="0" fontId="7" fillId="0" borderId="22" xfId="2" applyFont="1" applyBorder="1" applyAlignment="1">
      <alignment horizontal="center" vertical="center"/>
    </xf>
    <xf numFmtId="0" fontId="10" fillId="0" borderId="21" xfId="4" applyFont="1" applyBorder="1" applyAlignment="1">
      <alignment horizontal="center" vertical="center" wrapText="1"/>
    </xf>
    <xf numFmtId="0" fontId="10" fillId="0" borderId="21" xfId="4" applyFont="1" applyBorder="1" applyAlignment="1">
      <alignment horizontal="left" vertical="center" wrapText="1"/>
    </xf>
    <xf numFmtId="167" fontId="10" fillId="0" borderId="21" xfId="4" applyNumberFormat="1" applyFont="1" applyBorder="1" applyAlignment="1">
      <alignment horizontal="center" vertical="center" wrapText="1"/>
    </xf>
    <xf numFmtId="0" fontId="10" fillId="0" borderId="22" xfId="4" applyFont="1" applyBorder="1" applyAlignment="1">
      <alignment horizontal="center" vertical="center" wrapText="1"/>
    </xf>
    <xf numFmtId="168" fontId="5" fillId="0" borderId="21" xfId="2" applyNumberFormat="1" applyFont="1" applyBorder="1" applyAlignment="1">
      <alignment horizontal="center" vertical="center"/>
    </xf>
    <xf numFmtId="0" fontId="5" fillId="0" borderId="21" xfId="2" applyFont="1" applyBorder="1" applyAlignment="1">
      <alignment horizontal="left" vertical="center" wrapText="1"/>
    </xf>
    <xf numFmtId="166" fontId="5" fillId="0" borderId="21" xfId="2" applyNumberFormat="1" applyFont="1" applyBorder="1" applyAlignment="1">
      <alignment horizontal="center" vertical="center"/>
    </xf>
    <xf numFmtId="0" fontId="5" fillId="0" borderId="22" xfId="2" applyFont="1" applyBorder="1" applyAlignment="1">
      <alignment horizontal="center" vertical="center"/>
    </xf>
    <xf numFmtId="0" fontId="5" fillId="0" borderId="0" xfId="2" applyFont="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168" fontId="6" fillId="0" borderId="21" xfId="2" applyNumberFormat="1" applyFont="1" applyBorder="1" applyAlignment="1">
      <alignment horizontal="center" vertical="center"/>
    </xf>
    <xf numFmtId="0" fontId="6" fillId="0" borderId="0" xfId="2" applyFont="1" applyAlignment="1">
      <alignment horizontal="left" vertical="center" wrapText="1"/>
    </xf>
    <xf numFmtId="0" fontId="11" fillId="0" borderId="21" xfId="4" applyFont="1" applyBorder="1" applyAlignment="1">
      <alignment horizontal="left" vertical="center" wrapText="1"/>
    </xf>
    <xf numFmtId="168" fontId="5" fillId="0" borderId="17" xfId="2" applyNumberFormat="1" applyFont="1" applyBorder="1" applyAlignment="1">
      <alignment horizontal="center" vertical="center"/>
    </xf>
    <xf numFmtId="0" fontId="10" fillId="0" borderId="1" xfId="0" applyFont="1" applyBorder="1" applyAlignment="1">
      <alignment horizontal="left" vertical="center"/>
    </xf>
    <xf numFmtId="166" fontId="5" fillId="0" borderId="17" xfId="2" applyNumberFormat="1" applyFont="1" applyBorder="1" applyAlignment="1">
      <alignment horizontal="center" vertical="center"/>
    </xf>
    <xf numFmtId="0" fontId="5" fillId="0" borderId="23" xfId="2" applyFont="1" applyBorder="1" applyAlignment="1">
      <alignment horizontal="center" vertical="center"/>
    </xf>
    <xf numFmtId="40" fontId="1" fillId="0" borderId="13" xfId="1" applyNumberFormat="1" applyFont="1" applyBorder="1" applyAlignment="1">
      <alignment vertical="center" wrapText="1"/>
    </xf>
    <xf numFmtId="0" fontId="6" fillId="0" borderId="21" xfId="2" applyFont="1" applyBorder="1" applyAlignment="1">
      <alignment horizontal="left" vertical="center" wrapText="1"/>
    </xf>
    <xf numFmtId="0" fontId="11" fillId="0" borderId="0" xfId="0" applyFont="1" applyAlignment="1">
      <alignment horizontal="left" vertical="center" wrapText="1"/>
    </xf>
    <xf numFmtId="40" fontId="1" fillId="0" borderId="19" xfId="1" applyNumberFormat="1" applyFont="1" applyBorder="1" applyAlignment="1">
      <alignment vertical="center" wrapText="1"/>
    </xf>
    <xf numFmtId="40" fontId="1" fillId="0" borderId="4" xfId="1" applyNumberFormat="1" applyFont="1" applyBorder="1" applyAlignment="1">
      <alignment horizontal="left" vertical="center" wrapText="1"/>
    </xf>
    <xf numFmtId="40" fontId="4" fillId="0" borderId="0" xfId="1" applyNumberFormat="1" applyFont="1" applyAlignment="1">
      <alignment horizontal="left" vertical="center"/>
    </xf>
    <xf numFmtId="0" fontId="4" fillId="0" borderId="0" xfId="3" applyFont="1" applyAlignment="1">
      <alignment horizontal="left" vertical="center"/>
    </xf>
    <xf numFmtId="0" fontId="4" fillId="0" borderId="0" xfId="3" applyFont="1" applyAlignment="1">
      <alignment vertical="center"/>
    </xf>
    <xf numFmtId="0" fontId="4" fillId="0" borderId="0" xfId="3" applyFont="1" applyAlignment="1">
      <alignment horizontal="center" vertical="center"/>
    </xf>
    <xf numFmtId="43" fontId="4" fillId="0" borderId="0" xfId="1" applyFont="1" applyAlignment="1">
      <alignment horizontal="left" vertical="center"/>
    </xf>
    <xf numFmtId="0" fontId="13" fillId="0" borderId="0" xfId="3" applyFont="1" applyAlignment="1">
      <alignment vertical="center"/>
    </xf>
    <xf numFmtId="0" fontId="4" fillId="0" borderId="0" xfId="3" applyFont="1" applyAlignment="1">
      <alignment vertical="center" wrapText="1"/>
    </xf>
    <xf numFmtId="40" fontId="4" fillId="0" borderId="0" xfId="3" applyNumberFormat="1" applyFont="1" applyAlignment="1">
      <alignment horizontal="right" vertical="center"/>
    </xf>
    <xf numFmtId="0" fontId="13" fillId="0" borderId="1" xfId="3" applyFont="1" applyBorder="1" applyAlignment="1">
      <alignment vertical="center"/>
    </xf>
    <xf numFmtId="0" fontId="4" fillId="0" borderId="1" xfId="3" applyFont="1" applyBorder="1" applyAlignment="1">
      <alignment vertical="center" wrapText="1"/>
    </xf>
    <xf numFmtId="0" fontId="4" fillId="0" borderId="1" xfId="3" applyFont="1" applyBorder="1" applyAlignment="1">
      <alignment horizontal="left" vertical="center"/>
    </xf>
    <xf numFmtId="0" fontId="13" fillId="0" borderId="0" xfId="0" applyFont="1" applyAlignment="1">
      <alignment horizontal="left" vertical="center"/>
    </xf>
    <xf numFmtId="0" fontId="4" fillId="0" borderId="0" xfId="3" applyFont="1" applyAlignment="1">
      <alignment horizontal="left" vertical="center" wrapText="1"/>
    </xf>
    <xf numFmtId="43" fontId="4" fillId="0" borderId="0" xfId="1" applyFont="1" applyAlignment="1">
      <alignment horizontal="left" vertical="center" wrapText="1"/>
    </xf>
    <xf numFmtId="40" fontId="4" fillId="0" borderId="0" xfId="3" applyNumberFormat="1" applyFont="1" applyAlignment="1">
      <alignment horizontal="left" vertical="center"/>
    </xf>
    <xf numFmtId="0" fontId="13" fillId="0" borderId="0" xfId="3" applyFont="1" applyAlignment="1">
      <alignment horizontal="lef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3" fontId="4" fillId="0" borderId="3" xfId="1" applyFont="1" applyBorder="1" applyAlignment="1">
      <alignment horizontal="center" vertical="center" wrapText="1"/>
    </xf>
    <xf numFmtId="40" fontId="4" fillId="0" borderId="4" xfId="1" applyNumberFormat="1" applyFont="1" applyBorder="1" applyAlignment="1">
      <alignment horizontal="center" vertical="center" wrapText="1"/>
    </xf>
    <xf numFmtId="0" fontId="4" fillId="0" borderId="5" xfId="3" applyFont="1" applyBorder="1" applyAlignment="1">
      <alignment vertical="center" wrapText="1"/>
    </xf>
    <xf numFmtId="0" fontId="13" fillId="0" borderId="9" xfId="3" applyFont="1" applyBorder="1" applyAlignment="1">
      <alignment vertical="center" wrapText="1"/>
    </xf>
    <xf numFmtId="0" fontId="4" fillId="0" borderId="5" xfId="3" applyFont="1" applyBorder="1" applyAlignment="1">
      <alignment horizontal="center" vertical="center" wrapText="1"/>
    </xf>
    <xf numFmtId="43" fontId="4" fillId="0" borderId="6" xfId="1" applyFont="1" applyBorder="1" applyAlignment="1">
      <alignment vertical="center" wrapText="1"/>
    </xf>
    <xf numFmtId="40" fontId="4" fillId="0" borderId="7" xfId="1" applyNumberFormat="1" applyFont="1" applyBorder="1" applyAlignment="1">
      <alignment vertical="center" wrapText="1"/>
    </xf>
    <xf numFmtId="40" fontId="4" fillId="0" borderId="0" xfId="1" applyNumberFormat="1" applyFont="1" applyAlignment="1">
      <alignment vertical="center" wrapText="1"/>
    </xf>
    <xf numFmtId="0" fontId="13" fillId="0" borderId="8" xfId="3" applyFont="1" applyBorder="1" applyAlignment="1">
      <alignment horizontal="right" vertical="center" wrapText="1"/>
    </xf>
    <xf numFmtId="0" fontId="4" fillId="0" borderId="8" xfId="3" applyFont="1" applyBorder="1" applyAlignment="1">
      <alignment horizontal="center" vertical="center" wrapText="1"/>
    </xf>
    <xf numFmtId="43" fontId="4" fillId="0" borderId="9" xfId="1" applyFont="1" applyBorder="1" applyAlignment="1">
      <alignment vertical="center" wrapText="1"/>
    </xf>
    <xf numFmtId="40" fontId="4" fillId="0" borderId="10" xfId="1" applyNumberFormat="1" applyFont="1" applyBorder="1" applyAlignment="1">
      <alignment vertical="center" wrapText="1"/>
    </xf>
    <xf numFmtId="0" fontId="4" fillId="0" borderId="8" xfId="3" applyFont="1" applyBorder="1" applyAlignment="1">
      <alignment horizontal="right" vertical="center" wrapText="1"/>
    </xf>
    <xf numFmtId="0" fontId="13" fillId="0" borderId="21" xfId="3" applyFont="1" applyBorder="1" applyAlignment="1">
      <alignment horizontal="center" vertical="center" wrapText="1"/>
    </xf>
    <xf numFmtId="0" fontId="14" fillId="0" borderId="21" xfId="5" applyFont="1" applyBorder="1" applyAlignment="1">
      <alignment vertical="center" wrapText="1"/>
    </xf>
    <xf numFmtId="166" fontId="13" fillId="0" borderId="21" xfId="2" applyNumberFormat="1" applyFont="1" applyBorder="1" applyAlignment="1">
      <alignment horizontal="center" vertical="center"/>
    </xf>
    <xf numFmtId="0" fontId="14" fillId="0" borderId="21" xfId="4" applyFont="1" applyBorder="1" applyAlignment="1">
      <alignment horizontal="center" vertical="center" wrapText="1"/>
    </xf>
    <xf numFmtId="43" fontId="4" fillId="0" borderId="21" xfId="1" applyFont="1" applyBorder="1" applyAlignment="1">
      <alignment horizontal="left" vertical="center"/>
    </xf>
    <xf numFmtId="40" fontId="4" fillId="0" borderId="21" xfId="1" applyNumberFormat="1" applyFont="1" applyBorder="1" applyAlignment="1">
      <alignment horizontal="left" vertical="center"/>
    </xf>
    <xf numFmtId="0" fontId="13" fillId="0" borderId="17" xfId="3" applyFont="1" applyBorder="1" applyAlignment="1">
      <alignment horizontal="center" vertical="center" wrapText="1"/>
    </xf>
    <xf numFmtId="0" fontId="14" fillId="0" borderId="17" xfId="5" applyFont="1" applyBorder="1" applyAlignment="1">
      <alignment vertical="center" wrapText="1"/>
    </xf>
    <xf numFmtId="166" fontId="13" fillId="0" borderId="17" xfId="2" applyNumberFormat="1" applyFont="1" applyBorder="1" applyAlignment="1">
      <alignment horizontal="center" vertical="center"/>
    </xf>
    <xf numFmtId="0" fontId="14" fillId="0" borderId="17" xfId="4" applyFont="1" applyBorder="1" applyAlignment="1">
      <alignment horizontal="center" vertical="center" wrapText="1"/>
    </xf>
    <xf numFmtId="43" fontId="4" fillId="0" borderId="17" xfId="1" applyFont="1" applyBorder="1" applyAlignment="1">
      <alignment horizontal="left" vertical="center"/>
    </xf>
    <xf numFmtId="40" fontId="4" fillId="0" borderId="17" xfId="1" applyNumberFormat="1" applyFont="1" applyBorder="1" applyAlignment="1">
      <alignment horizontal="left" vertical="center"/>
    </xf>
    <xf numFmtId="0" fontId="13" fillId="0" borderId="0" xfId="2" applyFont="1" applyAlignment="1">
      <alignment horizontal="left" vertical="top" wrapText="1"/>
    </xf>
    <xf numFmtId="0" fontId="13" fillId="0" borderId="21" xfId="2" applyFont="1" applyBorder="1" applyAlignment="1">
      <alignment horizontal="center" vertical="center"/>
    </xf>
    <xf numFmtId="0" fontId="13" fillId="0" borderId="0" xfId="0" applyFont="1" applyAlignment="1">
      <alignment vertical="center" wrapText="1"/>
    </xf>
    <xf numFmtId="0" fontId="13" fillId="0" borderId="21" xfId="2" applyFont="1" applyBorder="1" applyAlignment="1">
      <alignment horizontal="left" vertical="top" wrapText="1"/>
    </xf>
    <xf numFmtId="0" fontId="15" fillId="0" borderId="24" xfId="3" applyFont="1" applyBorder="1" applyAlignment="1">
      <alignment horizontal="center" vertical="center" wrapText="1"/>
    </xf>
    <xf numFmtId="0" fontId="15" fillId="0" borderId="25" xfId="2" applyFont="1" applyBorder="1" applyAlignment="1">
      <alignment horizontal="left" vertical="top" wrapText="1"/>
    </xf>
    <xf numFmtId="166" fontId="13" fillId="0" borderId="26" xfId="2" applyNumberFormat="1" applyFont="1" applyBorder="1" applyAlignment="1">
      <alignment horizontal="center" vertical="center"/>
    </xf>
    <xf numFmtId="0" fontId="15" fillId="0" borderId="21" xfId="3" applyFont="1" applyBorder="1" applyAlignment="1">
      <alignment horizontal="center" vertical="center" wrapText="1"/>
    </xf>
    <xf numFmtId="0" fontId="13" fillId="0" borderId="21" xfId="3" applyFont="1" applyBorder="1" applyAlignment="1">
      <alignment vertical="center" wrapText="1"/>
    </xf>
    <xf numFmtId="40" fontId="4" fillId="0" borderId="4" xfId="1" applyNumberFormat="1" applyFont="1" applyBorder="1" applyAlignment="1">
      <alignment horizontal="left" vertical="center" wrapText="1"/>
    </xf>
    <xf numFmtId="0" fontId="1" fillId="0" borderId="0" xfId="3" applyFont="1" applyAlignment="1">
      <alignment vertical="center"/>
    </xf>
    <xf numFmtId="0" fontId="1" fillId="0" borderId="0" xfId="3" applyFont="1" applyAlignment="1">
      <alignment horizontal="center" vertical="center"/>
    </xf>
    <xf numFmtId="43" fontId="1" fillId="0" borderId="0" xfId="1" applyFont="1" applyAlignment="1">
      <alignment horizontal="left" vertical="center" wrapText="1"/>
    </xf>
    <xf numFmtId="0" fontId="5" fillId="0" borderId="21" xfId="3" applyFont="1" applyBorder="1" applyAlignment="1">
      <alignment horizontal="center" vertical="center" wrapText="1"/>
    </xf>
    <xf numFmtId="43" fontId="1" fillId="0" borderId="21" xfId="1" applyFont="1" applyBorder="1" applyAlignment="1">
      <alignment horizontal="left" vertical="center"/>
    </xf>
    <xf numFmtId="40" fontId="1" fillId="0" borderId="21" xfId="1" applyNumberFormat="1" applyFont="1" applyBorder="1" applyAlignment="1">
      <alignment horizontal="left" vertical="center"/>
    </xf>
    <xf numFmtId="0" fontId="5" fillId="0" borderId="21" xfId="3" applyFont="1" applyBorder="1" applyAlignment="1">
      <alignment vertical="center" wrapText="1"/>
    </xf>
    <xf numFmtId="0" fontId="5" fillId="0" borderId="17" xfId="3" applyFont="1" applyBorder="1" applyAlignment="1">
      <alignment horizontal="center" vertical="center" wrapText="1"/>
    </xf>
    <xf numFmtId="0" fontId="5" fillId="0" borderId="17" xfId="3" applyFont="1" applyBorder="1" applyAlignment="1">
      <alignment vertical="center" wrapText="1"/>
    </xf>
    <xf numFmtId="43" fontId="1" fillId="0" borderId="17" xfId="1" applyFont="1" applyBorder="1" applyAlignment="1">
      <alignment horizontal="left" vertical="center"/>
    </xf>
    <xf numFmtId="40" fontId="1" fillId="0" borderId="17" xfId="1" applyNumberFormat="1" applyFont="1" applyBorder="1" applyAlignment="1">
      <alignment horizontal="left" vertical="center"/>
    </xf>
    <xf numFmtId="40" fontId="1" fillId="0" borderId="0" xfId="3" applyNumberFormat="1" applyFont="1" applyAlignment="1">
      <alignment horizontal="left" vertical="top"/>
    </xf>
    <xf numFmtId="164" fontId="1" fillId="0" borderId="0" xfId="3" applyNumberFormat="1" applyFont="1" applyAlignment="1">
      <alignment horizontal="right" vertical="top"/>
    </xf>
    <xf numFmtId="0" fontId="5" fillId="0" borderId="6" xfId="3" applyFont="1" applyBorder="1" applyAlignment="1">
      <alignment horizontal="center" vertical="center" wrapText="1"/>
    </xf>
    <xf numFmtId="0" fontId="5" fillId="0" borderId="27" xfId="3" applyFont="1" applyBorder="1" applyAlignment="1">
      <alignment horizontal="center" vertical="center" wrapText="1"/>
    </xf>
    <xf numFmtId="0" fontId="5" fillId="0" borderId="28" xfId="3" applyFont="1" applyBorder="1" applyAlignment="1">
      <alignment horizontal="center" vertical="center" wrapText="1"/>
    </xf>
    <xf numFmtId="0" fontId="1" fillId="0" borderId="6" xfId="3" applyFont="1" applyBorder="1" applyAlignment="1">
      <alignment horizontal="left" vertical="center" wrapText="1"/>
    </xf>
    <xf numFmtId="0" fontId="5" fillId="0" borderId="29" xfId="3" applyFont="1" applyBorder="1" applyAlignment="1">
      <alignment horizontal="left" vertical="center" wrapText="1"/>
    </xf>
    <xf numFmtId="0" fontId="1" fillId="0" borderId="30" xfId="3" applyFont="1" applyBorder="1" applyAlignment="1">
      <alignment horizontal="center" vertical="center" wrapText="1"/>
    </xf>
    <xf numFmtId="0" fontId="1" fillId="0" borderId="31" xfId="3" applyFont="1" applyBorder="1" applyAlignment="1">
      <alignment horizontal="center" vertical="center" wrapText="1"/>
    </xf>
    <xf numFmtId="0" fontId="5" fillId="0" borderId="9" xfId="3" applyFont="1" applyBorder="1" applyAlignment="1">
      <alignment horizontal="right" vertical="center" wrapText="1"/>
    </xf>
    <xf numFmtId="0" fontId="5" fillId="0" borderId="21" xfId="3" applyFont="1" applyBorder="1" applyAlignment="1">
      <alignment horizontal="left" vertical="center" wrapText="1"/>
    </xf>
    <xf numFmtId="0" fontId="1" fillId="0" borderId="21" xfId="3" applyFont="1" applyBorder="1" applyAlignment="1">
      <alignment horizontal="center" vertical="center" wrapText="1"/>
    </xf>
    <xf numFmtId="0" fontId="1" fillId="0" borderId="32" xfId="3" applyFont="1" applyBorder="1" applyAlignment="1">
      <alignment horizontal="center" vertical="center" wrapText="1"/>
    </xf>
    <xf numFmtId="0" fontId="1" fillId="0" borderId="21" xfId="3" applyFont="1" applyBorder="1" applyAlignment="1">
      <alignment horizontal="left" vertical="center" wrapText="1"/>
    </xf>
    <xf numFmtId="0" fontId="7" fillId="0" borderId="9" xfId="3" applyFont="1" applyBorder="1" applyAlignment="1">
      <alignment vertical="center" wrapText="1"/>
    </xf>
    <xf numFmtId="0" fontId="5" fillId="0" borderId="21" xfId="2" applyFont="1" applyBorder="1" applyAlignment="1">
      <alignment horizontal="left" vertical="top" wrapText="1"/>
    </xf>
    <xf numFmtId="0" fontId="5" fillId="0" borderId="32" xfId="2" applyFont="1" applyBorder="1" applyAlignment="1">
      <alignment horizontal="center" vertical="center"/>
    </xf>
    <xf numFmtId="0" fontId="6" fillId="0" borderId="21" xfId="2" applyFont="1" applyBorder="1" applyAlignment="1">
      <alignment horizontal="left" vertical="top" wrapText="1"/>
    </xf>
    <xf numFmtId="0" fontId="1" fillId="0" borderId="17" xfId="3" applyFont="1" applyBorder="1" applyAlignment="1">
      <alignment horizontal="left" vertical="center" wrapText="1"/>
    </xf>
    <xf numFmtId="0" fontId="1" fillId="0" borderId="33" xfId="3" applyFont="1" applyBorder="1" applyAlignment="1">
      <alignment horizontal="center" vertical="center" wrapText="1"/>
    </xf>
    <xf numFmtId="0" fontId="5" fillId="0" borderId="11" xfId="3" applyFont="1" applyBorder="1" applyAlignment="1">
      <alignment horizontal="center" vertical="center" wrapText="1"/>
    </xf>
    <xf numFmtId="0" fontId="1" fillId="0" borderId="34" xfId="3" applyFont="1" applyBorder="1" applyAlignment="1">
      <alignment horizontal="center" vertical="center" wrapText="1"/>
    </xf>
    <xf numFmtId="0" fontId="5" fillId="0" borderId="34" xfId="3" applyFont="1" applyBorder="1" applyAlignment="1">
      <alignment horizontal="center" vertical="center" wrapText="1"/>
    </xf>
    <xf numFmtId="43" fontId="1" fillId="0" borderId="14" xfId="1" applyFont="1" applyBorder="1" applyAlignment="1">
      <alignment vertical="center" wrapText="1"/>
    </xf>
    <xf numFmtId="0" fontId="1" fillId="0" borderId="9" xfId="3" applyFont="1" applyBorder="1" applyAlignment="1">
      <alignment horizontal="left" vertical="center"/>
    </xf>
    <xf numFmtId="0" fontId="1" fillId="0" borderId="12" xfId="3" applyFont="1" applyBorder="1" applyAlignment="1">
      <alignment horizontal="left" vertical="center"/>
    </xf>
    <xf numFmtId="0" fontId="17" fillId="0" borderId="0" xfId="0" applyFont="1" applyAlignment="1">
      <alignment horizontal="left" vertical="center"/>
    </xf>
    <xf numFmtId="43" fontId="1" fillId="0" borderId="0" xfId="1" applyFont="1" applyFill="1" applyAlignment="1">
      <alignment horizontal="left" vertical="center"/>
    </xf>
    <xf numFmtId="40" fontId="1" fillId="0" borderId="0" xfId="1" applyNumberFormat="1" applyFont="1" applyFill="1" applyAlignment="1">
      <alignment horizontal="left" vertical="center"/>
    </xf>
    <xf numFmtId="40" fontId="9" fillId="0" borderId="0" xfId="3" applyNumberFormat="1" applyFont="1" applyAlignment="1">
      <alignment horizontal="right" vertical="center"/>
    </xf>
    <xf numFmtId="40" fontId="1" fillId="0" borderId="1" xfId="3" applyNumberFormat="1" applyFont="1" applyBorder="1" applyAlignment="1">
      <alignment horizontal="right" vertical="center"/>
    </xf>
    <xf numFmtId="43" fontId="1" fillId="0" borderId="0" xfId="1" applyFont="1" applyFill="1" applyAlignment="1">
      <alignment horizontal="center" vertical="center" wrapText="1"/>
    </xf>
    <xf numFmtId="43" fontId="1" fillId="0" borderId="3" xfId="1" applyFont="1" applyFill="1" applyBorder="1" applyAlignment="1">
      <alignment horizontal="center" vertical="center" wrapText="1"/>
    </xf>
    <xf numFmtId="40" fontId="1" fillId="0" borderId="4" xfId="1" applyNumberFormat="1" applyFont="1" applyFill="1" applyBorder="1" applyAlignment="1">
      <alignment horizontal="center" vertical="center" wrapText="1"/>
    </xf>
    <xf numFmtId="43" fontId="1" fillId="0" borderId="6" xfId="1" applyFont="1" applyFill="1" applyBorder="1" applyAlignment="1">
      <alignment vertical="center" wrapText="1"/>
    </xf>
    <xf numFmtId="40" fontId="1" fillId="0" borderId="7" xfId="1" applyNumberFormat="1" applyFont="1" applyFill="1" applyBorder="1" applyAlignment="1">
      <alignment vertical="center" wrapText="1"/>
    </xf>
    <xf numFmtId="40" fontId="1" fillId="0" borderId="10" xfId="1" applyNumberFormat="1" applyFont="1" applyFill="1" applyBorder="1" applyAlignment="1">
      <alignment vertical="center" wrapText="1"/>
    </xf>
    <xf numFmtId="0" fontId="18" fillId="0" borderId="9" xfId="3" applyFont="1" applyBorder="1" applyAlignment="1">
      <alignment horizontal="left" vertical="center" wrapText="1"/>
    </xf>
    <xf numFmtId="40" fontId="1" fillId="0" borderId="13" xfId="1" applyNumberFormat="1" applyFont="1" applyFill="1" applyBorder="1" applyAlignment="1">
      <alignment vertical="center" wrapText="1"/>
    </xf>
    <xf numFmtId="0" fontId="5" fillId="0" borderId="12" xfId="3" applyFont="1" applyBorder="1" applyAlignment="1">
      <alignment horizontal="left" vertical="center"/>
    </xf>
    <xf numFmtId="0" fontId="19" fillId="0" borderId="9" xfId="3" applyFont="1" applyBorder="1" applyAlignment="1">
      <alignment horizontal="left" vertical="center" wrapText="1"/>
    </xf>
    <xf numFmtId="0" fontId="20" fillId="0" borderId="9" xfId="3" applyFont="1" applyBorder="1" applyAlignment="1">
      <alignment horizontal="left" vertical="center" wrapText="1"/>
    </xf>
    <xf numFmtId="0" fontId="7" fillId="0" borderId="9" xfId="3" applyFont="1" applyBorder="1" applyAlignment="1">
      <alignment horizontal="left" vertical="center"/>
    </xf>
    <xf numFmtId="0" fontId="5" fillId="0" borderId="35" xfId="3" applyFont="1" applyBorder="1" applyAlignment="1">
      <alignment horizontal="left" vertical="center" wrapText="1"/>
    </xf>
    <xf numFmtId="0" fontId="1" fillId="0" borderId="35" xfId="3" applyFont="1" applyBorder="1" applyAlignment="1">
      <alignment horizontal="center" vertical="center" wrapText="1"/>
    </xf>
    <xf numFmtId="0" fontId="5" fillId="0" borderId="35" xfId="3" applyFont="1" applyBorder="1" applyAlignment="1">
      <alignment horizontal="center" vertical="center" wrapText="1"/>
    </xf>
    <xf numFmtId="43" fontId="1" fillId="0" borderId="36" xfId="1" applyFont="1" applyFill="1" applyBorder="1" applyAlignment="1">
      <alignment vertical="center" wrapText="1"/>
    </xf>
    <xf numFmtId="40" fontId="1" fillId="0" borderId="37" xfId="1" applyNumberFormat="1" applyFont="1" applyFill="1" applyBorder="1" applyAlignment="1">
      <alignment vertical="center" wrapText="1"/>
    </xf>
    <xf numFmtId="0" fontId="7" fillId="0" borderId="12" xfId="3" applyFont="1" applyBorder="1" applyAlignment="1">
      <alignment horizontal="left" vertical="center" wrapText="1"/>
    </xf>
    <xf numFmtId="0" fontId="1" fillId="0" borderId="12" xfId="3" applyFont="1" applyBorder="1" applyAlignment="1">
      <alignment horizontal="center" vertical="center" wrapText="1"/>
    </xf>
    <xf numFmtId="0" fontId="1" fillId="0" borderId="9" xfId="3" applyFont="1" applyBorder="1" applyAlignment="1">
      <alignment horizontal="center" vertical="center" wrapText="1"/>
    </xf>
    <xf numFmtId="43" fontId="1" fillId="0" borderId="0" xfId="1" applyFont="1" applyFill="1" applyAlignment="1">
      <alignment vertical="center" wrapText="1"/>
    </xf>
    <xf numFmtId="0" fontId="5" fillId="0" borderId="34" xfId="3" applyFont="1" applyBorder="1" applyAlignment="1">
      <alignment horizontal="left" vertical="center" wrapText="1"/>
    </xf>
    <xf numFmtId="43" fontId="1" fillId="0" borderId="14" xfId="1" applyFont="1" applyFill="1" applyBorder="1" applyAlignment="1">
      <alignment vertical="center" wrapText="1"/>
    </xf>
    <xf numFmtId="40" fontId="1" fillId="0" borderId="19" xfId="1" applyNumberFormat="1" applyFont="1" applyFill="1" applyBorder="1" applyAlignment="1">
      <alignment vertical="center" wrapText="1"/>
    </xf>
    <xf numFmtId="0" fontId="1" fillId="0" borderId="8" xfId="3" applyFont="1" applyBorder="1" applyAlignment="1">
      <alignment horizontal="left" vertical="center" wrapText="1"/>
    </xf>
    <xf numFmtId="0" fontId="17" fillId="0" borderId="8" xfId="0" applyFont="1" applyBorder="1" applyAlignment="1">
      <alignment horizontal="center" vertical="center" wrapText="1"/>
    </xf>
    <xf numFmtId="0" fontId="21" fillId="0" borderId="8" xfId="0" applyFont="1" applyBorder="1" applyAlignment="1">
      <alignment horizontal="left" vertical="center" wrapText="1"/>
    </xf>
    <xf numFmtId="43" fontId="17" fillId="0" borderId="9" xfId="1" applyFont="1" applyBorder="1" applyAlignment="1">
      <alignment vertical="center" wrapText="1"/>
    </xf>
    <xf numFmtId="40" fontId="17" fillId="0" borderId="10" xfId="1" applyNumberFormat="1" applyFont="1" applyBorder="1" applyAlignment="1">
      <alignment vertical="center" wrapText="1"/>
    </xf>
    <xf numFmtId="0" fontId="21" fillId="0" borderId="9" xfId="0" applyFont="1" applyBorder="1" applyAlignment="1">
      <alignment horizontal="left" vertical="center" wrapText="1"/>
    </xf>
    <xf numFmtId="0" fontId="22" fillId="0" borderId="9" xfId="0" applyFont="1" applyBorder="1" applyAlignment="1">
      <alignment horizontal="left" vertical="center" wrapText="1"/>
    </xf>
    <xf numFmtId="0" fontId="17" fillId="0" borderId="8" xfId="0" applyFont="1" applyBorder="1" applyAlignment="1">
      <alignment horizontal="left" vertical="center" wrapText="1"/>
    </xf>
    <xf numFmtId="43" fontId="1" fillId="0" borderId="18" xfId="1" applyFont="1" applyFill="1" applyBorder="1" applyAlignment="1">
      <alignment vertical="center" wrapText="1"/>
    </xf>
    <xf numFmtId="40" fontId="1" fillId="0" borderId="4" xfId="1" applyNumberFormat="1" applyFont="1" applyFill="1" applyBorder="1" applyAlignment="1">
      <alignment horizontal="left" vertical="center" wrapText="1"/>
    </xf>
    <xf numFmtId="0" fontId="1" fillId="0" borderId="11" xfId="3" applyFont="1" applyBorder="1" applyAlignment="1">
      <alignment horizontal="left" vertical="center" wrapText="1"/>
    </xf>
    <xf numFmtId="0" fontId="1" fillId="0" borderId="24" xfId="3" applyFont="1" applyBorder="1" applyAlignment="1">
      <alignment horizontal="left" vertical="center" wrapText="1"/>
    </xf>
    <xf numFmtId="43" fontId="1" fillId="0" borderId="0" xfId="1" applyFont="1" applyAlignment="1">
      <alignment vertical="center" wrapText="1"/>
    </xf>
    <xf numFmtId="0" fontId="5" fillId="0" borderId="0" xfId="3" applyFont="1" applyAlignment="1">
      <alignment vertical="center"/>
    </xf>
    <xf numFmtId="43" fontId="0" fillId="0" borderId="0" xfId="1" applyFont="1" applyAlignment="1">
      <alignment horizontal="left" vertical="center" wrapText="1"/>
    </xf>
    <xf numFmtId="0" fontId="2" fillId="0" borderId="5" xfId="3" applyBorder="1" applyAlignment="1">
      <alignment horizontal="left" vertical="center" wrapText="1"/>
    </xf>
    <xf numFmtId="0" fontId="2" fillId="0" borderId="8" xfId="3" applyBorder="1" applyAlignment="1">
      <alignment horizontal="left" vertical="center" wrapText="1"/>
    </xf>
    <xf numFmtId="0" fontId="2" fillId="0" borderId="9" xfId="3" applyBorder="1" applyAlignment="1">
      <alignment horizontal="left" vertical="center"/>
    </xf>
    <xf numFmtId="0" fontId="2" fillId="0" borderId="24" xfId="3" applyBorder="1" applyAlignment="1">
      <alignment horizontal="left" vertical="center" wrapText="1"/>
    </xf>
    <xf numFmtId="0" fontId="2" fillId="0" borderId="21" xfId="3" applyBorder="1" applyAlignment="1">
      <alignment horizontal="center" vertical="center" wrapText="1"/>
    </xf>
    <xf numFmtId="43" fontId="2" fillId="0" borderId="0" xfId="1" applyFont="1" applyAlignment="1">
      <alignment vertical="center" wrapText="1"/>
    </xf>
    <xf numFmtId="0" fontId="2" fillId="0" borderId="15" xfId="3" applyBorder="1" applyAlignment="1">
      <alignment horizontal="left" vertical="center" wrapText="1"/>
    </xf>
    <xf numFmtId="0" fontId="2" fillId="0" borderId="16" xfId="3" applyBorder="1" applyAlignment="1">
      <alignment horizontal="center" vertical="center" wrapText="1"/>
    </xf>
    <xf numFmtId="0" fontId="2" fillId="0" borderId="17" xfId="3" applyBorder="1" applyAlignment="1">
      <alignment horizontal="center" vertical="center" wrapText="1"/>
    </xf>
    <xf numFmtId="43" fontId="2" fillId="0" borderId="18" xfId="1" applyFont="1" applyBorder="1" applyAlignment="1">
      <alignment vertical="center" wrapText="1"/>
    </xf>
    <xf numFmtId="0" fontId="0" fillId="0" borderId="0" xfId="0"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vertical="center"/>
    </xf>
    <xf numFmtId="0" fontId="0" fillId="0" borderId="0" xfId="0" applyAlignment="1">
      <alignment vertical="center" wrapText="1"/>
    </xf>
    <xf numFmtId="0" fontId="3" fillId="0" borderId="1" xfId="0" applyFont="1" applyBorder="1" applyAlignment="1">
      <alignment vertical="center"/>
    </xf>
    <xf numFmtId="0" fontId="0" fillId="0" borderId="1" xfId="0" applyBorder="1" applyAlignment="1">
      <alignment vertical="center" wrapText="1"/>
    </xf>
    <xf numFmtId="0" fontId="0" fillId="0" borderId="1" xfId="0" applyBorder="1" applyAlignment="1">
      <alignment horizontal="left" vertical="center"/>
    </xf>
    <xf numFmtId="0" fontId="0" fillId="0" borderId="0" xfId="0" applyAlignment="1">
      <alignment horizontal="left" vertical="center" wrapText="1"/>
    </xf>
    <xf numFmtId="40" fontId="0" fillId="0" borderId="0" xfId="0" applyNumberFormat="1" applyAlignment="1">
      <alignment horizontal="left" vertical="center"/>
    </xf>
    <xf numFmtId="0" fontId="2" fillId="0" borderId="0" xfId="0" applyFont="1" applyAlignment="1">
      <alignment horizontal="left" vertical="center" wrapText="1"/>
    </xf>
    <xf numFmtId="164" fontId="2" fillId="0" borderId="0" xfId="0" applyNumberFormat="1" applyFont="1" applyAlignment="1">
      <alignment horizontal="left" vertical="top"/>
    </xf>
    <xf numFmtId="40" fontId="2" fillId="0" borderId="0" xfId="0" applyNumberFormat="1" applyFont="1" applyAlignment="1">
      <alignment horizontal="right" vertical="top"/>
    </xf>
    <xf numFmtId="0" fontId="2" fillId="0" borderId="0" xfId="0" applyFont="1" applyAlignment="1">
      <alignment horizontal="center" vertical="center" wrapText="1"/>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0" fontId="2" fillId="0" borderId="5" xfId="0" applyFont="1" applyBorder="1" applyAlignment="1">
      <alignment horizontal="left" vertical="center" wrapText="1"/>
    </xf>
    <xf numFmtId="0" fontId="2" fillId="0" borderId="5" xfId="0" applyFont="1" applyBorder="1" applyAlignment="1">
      <alignment horizontal="center" vertical="center"/>
    </xf>
    <xf numFmtId="0" fontId="3" fillId="0" borderId="8" xfId="0" applyFont="1" applyBorder="1" applyAlignment="1">
      <alignment horizontal="right" vertical="center" wrapText="1"/>
    </xf>
    <xf numFmtId="0" fontId="2" fillId="0" borderId="8" xfId="0" applyFont="1" applyBorder="1" applyAlignment="1">
      <alignment horizontal="center" vertical="center"/>
    </xf>
    <xf numFmtId="0" fontId="2"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32" xfId="0" applyFont="1" applyBorder="1" applyAlignment="1">
      <alignment horizontal="left" vertical="center" wrapText="1"/>
    </xf>
    <xf numFmtId="0" fontId="2" fillId="0" borderId="9" xfId="0" applyFont="1" applyBorder="1" applyAlignment="1">
      <alignment horizontal="left" vertical="center" wrapText="1"/>
    </xf>
    <xf numFmtId="0" fontId="3" fillId="0" borderId="8" xfId="0" applyFont="1" applyBorder="1" applyAlignment="1">
      <alignment horizontal="left" vertical="center" wrapText="1"/>
    </xf>
    <xf numFmtId="0" fontId="3" fillId="0" borderId="8" xfId="0" applyFont="1" applyBorder="1" applyAlignment="1">
      <alignment horizontal="center" vertical="center" wrapText="1"/>
    </xf>
    <xf numFmtId="0" fontId="3" fillId="0" borderId="34" xfId="0" applyFont="1" applyBorder="1" applyAlignment="1">
      <alignment horizontal="left" vertical="center" wrapText="1"/>
    </xf>
    <xf numFmtId="43" fontId="2" fillId="0" borderId="14" xfId="1" applyFont="1" applyBorder="1" applyAlignment="1">
      <alignment vertical="center" wrapText="1"/>
    </xf>
    <xf numFmtId="164" fontId="2" fillId="0" borderId="0" xfId="0" applyNumberFormat="1" applyFont="1" applyAlignment="1">
      <alignment horizontal="right" vertical="top"/>
    </xf>
    <xf numFmtId="0" fontId="3" fillId="0" borderId="39" xfId="0" applyFont="1" applyBorder="1" applyAlignment="1">
      <alignment horizontal="left" vertical="center" wrapText="1"/>
    </xf>
    <xf numFmtId="0" fontId="3" fillId="0" borderId="40" xfId="0" applyFont="1" applyBorder="1" applyAlignment="1">
      <alignment horizontal="center" vertical="center" wrapText="1"/>
    </xf>
    <xf numFmtId="0" fontId="3" fillId="0" borderId="42" xfId="0" applyFont="1" applyBorder="1" applyAlignment="1">
      <alignment horizontal="center" vertical="center" wrapText="1"/>
    </xf>
    <xf numFmtId="164" fontId="2" fillId="0" borderId="43" xfId="0" applyNumberFormat="1" applyFont="1" applyBorder="1" applyAlignment="1">
      <alignment horizontal="center" vertical="top" wrapText="1"/>
    </xf>
    <xf numFmtId="164" fontId="2" fillId="0" borderId="44" xfId="0" applyNumberFormat="1" applyFont="1" applyBorder="1" applyAlignment="1">
      <alignment horizontal="center" vertical="top" wrapText="1"/>
    </xf>
    <xf numFmtId="0" fontId="2" fillId="0" borderId="45" xfId="0" applyFont="1" applyBorder="1" applyAlignment="1">
      <alignment horizontal="left" vertical="center" wrapText="1"/>
    </xf>
    <xf numFmtId="0" fontId="2" fillId="0" borderId="6" xfId="0" applyFont="1" applyBorder="1" applyAlignment="1">
      <alignment horizontal="left" vertical="center" wrapText="1"/>
    </xf>
    <xf numFmtId="164" fontId="2" fillId="0" borderId="46" xfId="0" applyNumberFormat="1" applyFont="1" applyBorder="1" applyAlignment="1">
      <alignment vertical="top" wrapText="1"/>
    </xf>
    <xf numFmtId="164" fontId="2" fillId="0" borderId="7" xfId="0" applyNumberFormat="1" applyFont="1" applyBorder="1" applyAlignment="1">
      <alignment horizontal="right" vertical="top" wrapText="1"/>
    </xf>
    <xf numFmtId="0" fontId="3" fillId="0" borderId="22" xfId="0" applyFont="1" applyBorder="1" applyAlignment="1">
      <alignment horizontal="right" vertical="center" wrapText="1"/>
    </xf>
    <xf numFmtId="164" fontId="2" fillId="0" borderId="24" xfId="0" applyNumberFormat="1" applyFont="1" applyBorder="1" applyAlignment="1">
      <alignment vertical="top" wrapText="1"/>
    </xf>
    <xf numFmtId="164" fontId="2" fillId="0" borderId="10" xfId="0" applyNumberFormat="1" applyFont="1" applyBorder="1" applyAlignment="1">
      <alignment horizontal="right" vertical="top" wrapText="1"/>
    </xf>
    <xf numFmtId="0" fontId="2" fillId="0" borderId="22" xfId="0" applyFont="1" applyBorder="1" applyAlignment="1">
      <alignment horizontal="left" vertical="center" wrapText="1"/>
    </xf>
    <xf numFmtId="0" fontId="3" fillId="0" borderId="22" xfId="0" applyFont="1" applyBorder="1" applyAlignment="1">
      <alignment horizontal="left" vertical="center" wrapText="1"/>
    </xf>
    <xf numFmtId="1" fontId="9" fillId="0" borderId="8" xfId="0" applyNumberFormat="1" applyFont="1" applyBorder="1" applyAlignment="1">
      <alignment horizontal="center" vertical="center" shrinkToFit="1"/>
    </xf>
    <xf numFmtId="0" fontId="3" fillId="0" borderId="9" xfId="0" applyFont="1" applyBorder="1" applyAlignment="1">
      <alignment horizontal="center" vertical="center" wrapText="1"/>
    </xf>
    <xf numFmtId="40" fontId="2" fillId="0" borderId="24" xfId="0" applyNumberFormat="1" applyFont="1" applyBorder="1" applyAlignment="1">
      <alignment vertical="top" wrapText="1"/>
    </xf>
    <xf numFmtId="0" fontId="2" fillId="0" borderId="23" xfId="0" applyFont="1" applyBorder="1" applyAlignment="1">
      <alignment horizontal="left" vertical="center" wrapText="1"/>
    </xf>
    <xf numFmtId="0" fontId="3" fillId="0" borderId="12" xfId="0" applyFont="1" applyBorder="1" applyAlignment="1">
      <alignment horizontal="left" vertical="center" wrapText="1"/>
    </xf>
    <xf numFmtId="0" fontId="3" fillId="0" borderId="47"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164" fontId="2" fillId="0" borderId="15" xfId="0" applyNumberFormat="1" applyFont="1" applyBorder="1" applyAlignment="1">
      <alignment vertical="top" wrapText="1"/>
    </xf>
    <xf numFmtId="164" fontId="2" fillId="0" borderId="13" xfId="0" applyNumberFormat="1" applyFont="1" applyBorder="1" applyAlignment="1">
      <alignment horizontal="right" vertical="top" wrapText="1"/>
    </xf>
    <xf numFmtId="0" fontId="2" fillId="0" borderId="22" xfId="0" applyFont="1" applyBorder="1" applyAlignment="1">
      <alignment horizontal="center" vertical="top" wrapText="1"/>
    </xf>
    <xf numFmtId="1" fontId="9" fillId="0" borderId="8" xfId="0" applyNumberFormat="1" applyFont="1" applyBorder="1" applyAlignment="1">
      <alignment horizontal="center" vertical="top" shrinkToFit="1"/>
    </xf>
    <xf numFmtId="0" fontId="3" fillId="0" borderId="8" xfId="0" applyFont="1" applyBorder="1" applyAlignment="1">
      <alignment horizontal="center" vertical="top" wrapText="1"/>
    </xf>
    <xf numFmtId="164" fontId="2" fillId="0" borderId="9" xfId="0" applyNumberFormat="1" applyFont="1" applyBorder="1" applyAlignment="1">
      <alignment vertical="top" wrapText="1"/>
    </xf>
    <xf numFmtId="0" fontId="2" fillId="0" borderId="22" xfId="0" applyFont="1" applyBorder="1" applyAlignment="1">
      <alignment horizontal="left" vertical="top" wrapText="1"/>
    </xf>
    <xf numFmtId="164" fontId="2" fillId="0" borderId="8" xfId="0" applyNumberFormat="1" applyFont="1" applyBorder="1" applyAlignment="1">
      <alignment vertical="top" wrapText="1"/>
    </xf>
    <xf numFmtId="0" fontId="3" fillId="0" borderId="48" xfId="0" applyFont="1" applyBorder="1" applyAlignment="1">
      <alignment horizontal="left" vertical="center" wrapText="1"/>
    </xf>
    <xf numFmtId="1" fontId="9" fillId="0" borderId="34" xfId="0" applyNumberFormat="1" applyFont="1" applyBorder="1" applyAlignment="1">
      <alignment horizontal="center" vertical="center" shrinkToFit="1"/>
    </xf>
    <xf numFmtId="0" fontId="3" fillId="0" borderId="34" xfId="0" applyFont="1" applyBorder="1" applyAlignment="1">
      <alignment horizontal="center" vertical="center" wrapText="1"/>
    </xf>
    <xf numFmtId="164" fontId="2" fillId="0" borderId="34" xfId="0" applyNumberFormat="1" applyFont="1" applyBorder="1" applyAlignment="1">
      <alignment vertical="top" wrapText="1"/>
    </xf>
    <xf numFmtId="164" fontId="2" fillId="0" borderId="19" xfId="0" applyNumberFormat="1" applyFont="1" applyBorder="1" applyAlignment="1">
      <alignment horizontal="right" vertical="top" wrapText="1"/>
    </xf>
    <xf numFmtId="164" fontId="2" fillId="0" borderId="52" xfId="0" applyNumberFormat="1" applyFont="1" applyBorder="1" applyAlignment="1">
      <alignment horizontal="right" vertical="top" wrapText="1"/>
    </xf>
    <xf numFmtId="0" fontId="1" fillId="0" borderId="0" xfId="0" applyFont="1" applyAlignment="1">
      <alignment horizontal="left" vertical="center"/>
    </xf>
    <xf numFmtId="0" fontId="9" fillId="0" borderId="0" xfId="0" applyFont="1" applyAlignment="1">
      <alignment vertical="center" wrapText="1"/>
    </xf>
    <xf numFmtId="0" fontId="5" fillId="0" borderId="1" xfId="0" applyFont="1" applyBorder="1" applyAlignment="1">
      <alignment vertical="center"/>
    </xf>
    <xf numFmtId="0" fontId="1" fillId="0" borderId="1" xfId="0" applyFont="1" applyBorder="1" applyAlignment="1">
      <alignment vertical="center" wrapText="1"/>
    </xf>
    <xf numFmtId="0" fontId="1" fillId="0" borderId="0" xfId="0" applyFont="1" applyAlignment="1">
      <alignment horizontal="left" vertical="center" wrapText="1"/>
    </xf>
    <xf numFmtId="40" fontId="1" fillId="0" borderId="0" xfId="1" applyNumberFormat="1" applyFont="1" applyAlignment="1">
      <alignment horizontal="left" vertical="center" wrapText="1"/>
    </xf>
    <xf numFmtId="40" fontId="7" fillId="0" borderId="4" xfId="1" applyNumberFormat="1" applyFont="1" applyBorder="1" applyAlignment="1">
      <alignment horizontal="center" vertical="center" wrapText="1"/>
    </xf>
    <xf numFmtId="0" fontId="7" fillId="0" borderId="24" xfId="0" applyFont="1" applyBorder="1" applyAlignment="1">
      <alignment vertical="center" wrapText="1"/>
    </xf>
    <xf numFmtId="0" fontId="7" fillId="0" borderId="0" xfId="0" applyFont="1" applyAlignment="1">
      <alignment vertical="center" wrapText="1"/>
    </xf>
    <xf numFmtId="0" fontId="7" fillId="0" borderId="0" xfId="0" applyFont="1" applyAlignment="1">
      <alignment vertical="center"/>
    </xf>
    <xf numFmtId="0" fontId="1" fillId="0" borderId="56" xfId="0" applyFont="1" applyBorder="1" applyAlignment="1">
      <alignment vertical="center" wrapText="1"/>
    </xf>
    <xf numFmtId="0" fontId="1" fillId="0" borderId="18" xfId="0" applyFont="1" applyBorder="1" applyAlignment="1">
      <alignment vertical="center" wrapText="1"/>
    </xf>
    <xf numFmtId="40" fontId="1" fillId="0" borderId="52" xfId="1" applyNumberFormat="1" applyFont="1" applyBorder="1" applyAlignment="1">
      <alignment horizontal="left" vertical="center" wrapText="1"/>
    </xf>
    <xf numFmtId="0" fontId="1" fillId="0" borderId="0" xfId="0" applyFont="1" applyAlignment="1">
      <alignment horizontal="right" vertical="center"/>
    </xf>
    <xf numFmtId="0" fontId="33" fillId="0" borderId="9" xfId="3" applyFont="1" applyBorder="1" applyAlignment="1">
      <alignment horizontal="left" vertical="center" wrapText="1"/>
    </xf>
    <xf numFmtId="0" fontId="33" fillId="0" borderId="21" xfId="2" applyFont="1" applyBorder="1" applyAlignment="1">
      <alignment horizontal="left" vertical="top" wrapText="1"/>
    </xf>
    <xf numFmtId="166" fontId="3" fillId="0" borderId="21" xfId="2" applyNumberFormat="1" applyFont="1" applyBorder="1" applyAlignment="1">
      <alignment horizontal="center" vertical="center"/>
    </xf>
    <xf numFmtId="0" fontId="3" fillId="0" borderId="32" xfId="2" applyFont="1" applyBorder="1" applyAlignment="1">
      <alignment horizontal="center" vertical="center"/>
    </xf>
    <xf numFmtId="0" fontId="3" fillId="0" borderId="9" xfId="3" applyFont="1" applyBorder="1" applyAlignment="1">
      <alignment horizontal="left" vertical="center" wrapText="1"/>
    </xf>
    <xf numFmtId="0" fontId="3" fillId="0" borderId="21" xfId="2" applyFont="1" applyBorder="1" applyAlignment="1">
      <alignment horizontal="left" vertical="top" wrapText="1"/>
    </xf>
    <xf numFmtId="0" fontId="37" fillId="0" borderId="9" xfId="3" applyFont="1" applyBorder="1" applyAlignment="1">
      <alignment horizontal="left" vertical="center" wrapText="1"/>
    </xf>
    <xf numFmtId="0" fontId="3" fillId="0" borderId="9" xfId="3" applyFont="1" applyBorder="1" applyAlignment="1">
      <alignment horizontal="left" vertical="center"/>
    </xf>
    <xf numFmtId="0" fontId="3" fillId="0" borderId="12" xfId="3" applyFont="1" applyBorder="1" applyAlignment="1">
      <alignment horizontal="left" vertical="center" wrapText="1"/>
    </xf>
    <xf numFmtId="0" fontId="3" fillId="0" borderId="36" xfId="3" applyFont="1" applyBorder="1" applyAlignment="1">
      <alignment horizontal="left" vertical="center" wrapText="1"/>
    </xf>
    <xf numFmtId="0" fontId="38" fillId="0" borderId="9" xfId="3" applyFont="1" applyBorder="1" applyAlignment="1">
      <alignment horizontal="left" vertical="center" wrapText="1"/>
    </xf>
    <xf numFmtId="0" fontId="37" fillId="0" borderId="0" xfId="3" applyFont="1" applyAlignment="1">
      <alignment vertical="center"/>
    </xf>
    <xf numFmtId="0" fontId="39" fillId="0" borderId="0" xfId="3" applyFont="1" applyAlignment="1">
      <alignment vertical="center" wrapText="1"/>
    </xf>
    <xf numFmtId="0" fontId="39" fillId="0" borderId="0" xfId="3" applyFont="1" applyAlignment="1">
      <alignment horizontal="left" vertical="center"/>
    </xf>
    <xf numFmtId="0" fontId="39" fillId="0" borderId="0" xfId="3" applyFont="1" applyAlignment="1">
      <alignment horizontal="center" vertical="center"/>
    </xf>
    <xf numFmtId="40" fontId="39" fillId="0" borderId="0" xfId="0" applyNumberFormat="1" applyFont="1" applyAlignment="1">
      <alignment horizontal="right" vertical="center"/>
    </xf>
    <xf numFmtId="0" fontId="37" fillId="0" borderId="1" xfId="3" applyFont="1" applyBorder="1" applyAlignment="1">
      <alignment vertical="center"/>
    </xf>
    <xf numFmtId="0" fontId="39" fillId="0" borderId="1" xfId="3" applyFont="1" applyBorder="1" applyAlignment="1">
      <alignment vertical="center" wrapText="1"/>
    </xf>
    <xf numFmtId="0" fontId="39" fillId="0" borderId="1" xfId="3" applyFont="1" applyBorder="1" applyAlignment="1">
      <alignment horizontal="left" vertical="center"/>
    </xf>
    <xf numFmtId="0" fontId="39" fillId="0" borderId="1" xfId="3" applyFont="1" applyBorder="1" applyAlignment="1">
      <alignment horizontal="center" vertical="center"/>
    </xf>
    <xf numFmtId="40" fontId="39" fillId="0" borderId="1" xfId="0" applyNumberFormat="1" applyFont="1" applyBorder="1" applyAlignment="1">
      <alignment horizontal="right" vertical="center"/>
    </xf>
    <xf numFmtId="0" fontId="37" fillId="0" borderId="0" xfId="0" applyFont="1" applyAlignment="1">
      <alignment horizontal="left" vertical="center"/>
    </xf>
    <xf numFmtId="0" fontId="39" fillId="0" borderId="0" xfId="3" applyFont="1" applyAlignment="1">
      <alignment horizontal="left" vertical="center" wrapText="1"/>
    </xf>
    <xf numFmtId="43" fontId="39" fillId="0" borderId="0" xfId="1" applyFont="1" applyAlignment="1">
      <alignment horizontal="center" vertical="center" wrapText="1"/>
    </xf>
    <xf numFmtId="40" fontId="39" fillId="0" borderId="0" xfId="3" applyNumberFormat="1" applyFont="1" applyAlignment="1">
      <alignment horizontal="left" vertical="center"/>
    </xf>
    <xf numFmtId="0" fontId="37" fillId="0" borderId="0" xfId="3" applyFont="1" applyAlignment="1">
      <alignment horizontal="left" vertical="center"/>
    </xf>
    <xf numFmtId="0" fontId="39" fillId="0" borderId="0" xfId="3" applyFont="1" applyAlignment="1">
      <alignment horizontal="center" vertical="center" wrapText="1"/>
    </xf>
    <xf numFmtId="40" fontId="39" fillId="0" borderId="0" xfId="3" applyNumberFormat="1" applyFont="1" applyAlignment="1">
      <alignment horizontal="left" vertical="top"/>
    </xf>
    <xf numFmtId="164" fontId="39" fillId="0" borderId="0" xfId="3" applyNumberFormat="1" applyFont="1" applyAlignment="1">
      <alignment horizontal="right" vertical="top"/>
    </xf>
    <xf numFmtId="43" fontId="39" fillId="0" borderId="0" xfId="1" applyFont="1" applyAlignment="1">
      <alignment horizontal="left" vertical="center"/>
    </xf>
    <xf numFmtId="40" fontId="39" fillId="0" borderId="0" xfId="1" applyNumberFormat="1" applyFont="1" applyAlignment="1">
      <alignment horizontal="left" vertical="center"/>
    </xf>
    <xf numFmtId="0" fontId="37" fillId="0" borderId="2" xfId="3" applyFont="1" applyBorder="1" applyAlignment="1">
      <alignment horizontal="center" vertical="center" wrapText="1"/>
    </xf>
    <xf numFmtId="0" fontId="37" fillId="0" borderId="3" xfId="3" applyFont="1" applyBorder="1" applyAlignment="1">
      <alignment horizontal="center" vertical="center" wrapText="1"/>
    </xf>
    <xf numFmtId="43" fontId="39" fillId="0" borderId="3" xfId="1" applyFont="1" applyBorder="1" applyAlignment="1">
      <alignment horizontal="center" vertical="center" wrapText="1"/>
    </xf>
    <xf numFmtId="40" fontId="39" fillId="0" borderId="4" xfId="1" applyNumberFormat="1" applyFont="1" applyBorder="1" applyAlignment="1">
      <alignment horizontal="center" vertical="center" wrapText="1"/>
    </xf>
    <xf numFmtId="0" fontId="39" fillId="0" borderId="5" xfId="3" applyFont="1" applyBorder="1" applyAlignment="1">
      <alignment horizontal="left" vertical="center" wrapText="1"/>
    </xf>
    <xf numFmtId="0" fontId="37" fillId="0" borderId="6" xfId="3" applyFont="1" applyBorder="1" applyAlignment="1">
      <alignment horizontal="left" vertical="center" wrapText="1"/>
    </xf>
    <xf numFmtId="0" fontId="39" fillId="0" borderId="5" xfId="3" applyFont="1" applyBorder="1" applyAlignment="1">
      <alignment horizontal="center" vertical="center" wrapText="1"/>
    </xf>
    <xf numFmtId="43" fontId="39" fillId="0" borderId="6" xfId="1" applyFont="1" applyBorder="1" applyAlignment="1">
      <alignment vertical="center" wrapText="1"/>
    </xf>
    <xf numFmtId="40" fontId="39" fillId="0" borderId="7" xfId="1" applyNumberFormat="1" applyFont="1" applyBorder="1" applyAlignment="1">
      <alignment vertical="center" wrapText="1"/>
    </xf>
    <xf numFmtId="0" fontId="37" fillId="0" borderId="8" xfId="3" applyFont="1" applyBorder="1" applyAlignment="1">
      <alignment horizontal="right" vertical="center" wrapText="1"/>
    </xf>
    <xf numFmtId="0" fontId="39" fillId="0" borderId="8" xfId="3" applyFont="1" applyBorder="1" applyAlignment="1">
      <alignment horizontal="center" vertical="center" wrapText="1"/>
    </xf>
    <xf numFmtId="43" fontId="39" fillId="0" borderId="9" xfId="1" applyFont="1" applyBorder="1" applyAlignment="1">
      <alignment vertical="center" wrapText="1"/>
    </xf>
    <xf numFmtId="40" fontId="39" fillId="0" borderId="10" xfId="1" applyNumberFormat="1" applyFont="1" applyBorder="1" applyAlignment="1">
      <alignment vertical="center" wrapText="1"/>
    </xf>
    <xf numFmtId="0" fontId="39" fillId="0" borderId="9" xfId="3" applyFont="1" applyBorder="1" applyAlignment="1">
      <alignment horizontal="left" vertical="center" wrapText="1"/>
    </xf>
    <xf numFmtId="0" fontId="37" fillId="0" borderId="8" xfId="3" applyFont="1" applyBorder="1" applyAlignment="1">
      <alignment horizontal="left" vertical="center" wrapText="1"/>
    </xf>
    <xf numFmtId="0" fontId="40" fillId="0" borderId="9" xfId="3" applyFont="1" applyBorder="1" applyAlignment="1">
      <alignment horizontal="left" vertical="center" wrapText="1"/>
    </xf>
    <xf numFmtId="0" fontId="37" fillId="0" borderId="8" xfId="3" applyFont="1" applyBorder="1" applyAlignment="1">
      <alignment horizontal="center" vertical="center" wrapText="1"/>
    </xf>
    <xf numFmtId="0" fontId="37" fillId="0" borderId="11" xfId="3" applyFont="1" applyBorder="1" applyAlignment="1">
      <alignment horizontal="left" vertical="center" wrapText="1"/>
    </xf>
    <xf numFmtId="0" fontId="37" fillId="0" borderId="12" xfId="3" applyFont="1" applyBorder="1" applyAlignment="1">
      <alignment horizontal="left" vertical="center" wrapText="1"/>
    </xf>
    <xf numFmtId="0" fontId="39" fillId="0" borderId="11" xfId="3" applyFont="1" applyBorder="1" applyAlignment="1">
      <alignment horizontal="center" vertical="center" wrapText="1"/>
    </xf>
    <xf numFmtId="0" fontId="37" fillId="0" borderId="11" xfId="3" applyFont="1" applyBorder="1" applyAlignment="1">
      <alignment horizontal="center" vertical="center" wrapText="1"/>
    </xf>
    <xf numFmtId="43" fontId="39" fillId="0" borderId="12" xfId="1" applyFont="1" applyBorder="1" applyAlignment="1">
      <alignment vertical="center" wrapText="1"/>
    </xf>
    <xf numFmtId="40" fontId="39" fillId="0" borderId="13" xfId="1" applyNumberFormat="1" applyFont="1" applyBorder="1" applyAlignment="1">
      <alignment vertical="center" wrapText="1"/>
    </xf>
    <xf numFmtId="0" fontId="40" fillId="0" borderId="8" xfId="3" applyFont="1" applyBorder="1" applyAlignment="1">
      <alignment horizontal="left" vertical="center" wrapText="1"/>
    </xf>
    <xf numFmtId="0" fontId="41" fillId="0" borderId="9" xfId="3" applyFont="1" applyBorder="1" applyAlignment="1">
      <alignment horizontal="left" vertical="center"/>
    </xf>
    <xf numFmtId="0" fontId="39" fillId="0" borderId="9" xfId="3" applyFont="1" applyBorder="1" applyAlignment="1">
      <alignment horizontal="left" vertical="center"/>
    </xf>
    <xf numFmtId="0" fontId="37" fillId="0" borderId="34" xfId="3" applyFont="1" applyBorder="1" applyAlignment="1">
      <alignment horizontal="left" vertical="center" wrapText="1"/>
    </xf>
    <xf numFmtId="0" fontId="37" fillId="0" borderId="14" xfId="3" applyFont="1" applyBorder="1" applyAlignment="1">
      <alignment horizontal="left" vertical="center" wrapText="1"/>
    </xf>
    <xf numFmtId="0" fontId="39" fillId="0" borderId="34" xfId="3" applyFont="1" applyBorder="1" applyAlignment="1">
      <alignment horizontal="center" vertical="center" wrapText="1"/>
    </xf>
    <xf numFmtId="0" fontId="37" fillId="0" borderId="34" xfId="3" applyFont="1" applyBorder="1" applyAlignment="1">
      <alignment horizontal="center" vertical="center" wrapText="1"/>
    </xf>
    <xf numFmtId="43" fontId="39" fillId="0" borderId="14" xfId="1" applyFont="1" applyBorder="1" applyAlignment="1">
      <alignment vertical="center" wrapText="1"/>
    </xf>
    <xf numFmtId="40" fontId="39" fillId="0" borderId="19" xfId="1" applyNumberFormat="1" applyFont="1" applyBorder="1" applyAlignment="1">
      <alignment vertical="center" wrapText="1"/>
    </xf>
    <xf numFmtId="40" fontId="39" fillId="0" borderId="4" xfId="1" applyNumberFormat="1" applyFont="1" applyBorder="1" applyAlignment="1">
      <alignment horizontal="left" vertical="center" wrapText="1"/>
    </xf>
    <xf numFmtId="0" fontId="6" fillId="0" borderId="21" xfId="3" applyFont="1" applyBorder="1" applyAlignment="1">
      <alignment horizontal="left" vertical="center" wrapText="1"/>
    </xf>
    <xf numFmtId="0" fontId="39" fillId="0" borderId="5" xfId="0" applyFont="1" applyBorder="1" applyAlignment="1">
      <alignment vertical="center" wrapText="1"/>
    </xf>
    <xf numFmtId="0" fontId="43" fillId="0" borderId="9" xfId="0" applyFont="1" applyBorder="1" applyAlignment="1">
      <alignment horizontal="left" vertical="center" wrapText="1"/>
    </xf>
    <xf numFmtId="0" fontId="39" fillId="0" borderId="5" xfId="0" applyFont="1" applyBorder="1" applyAlignment="1">
      <alignment horizontal="center" vertical="center" wrapText="1"/>
    </xf>
    <xf numFmtId="0" fontId="37" fillId="0" borderId="8" xfId="0" applyFont="1" applyBorder="1" applyAlignment="1">
      <alignment horizontal="right" vertical="center" wrapText="1"/>
    </xf>
    <xf numFmtId="0" fontId="39" fillId="0" borderId="8" xfId="0" applyFont="1" applyBorder="1" applyAlignment="1">
      <alignment horizontal="center" vertical="center" wrapText="1"/>
    </xf>
    <xf numFmtId="0" fontId="39" fillId="0" borderId="8" xfId="0" applyFont="1" applyBorder="1" applyAlignment="1">
      <alignment horizontal="right" vertical="center" wrapText="1"/>
    </xf>
    <xf numFmtId="0" fontId="39" fillId="0" borderId="57" xfId="0" applyFont="1" applyBorder="1" applyAlignment="1">
      <alignment horizontal="right" vertical="center" wrapText="1"/>
    </xf>
    <xf numFmtId="0" fontId="43" fillId="0" borderId="57" xfId="0" applyFont="1" applyBorder="1" applyAlignment="1">
      <alignment horizontal="left" vertical="center" wrapText="1"/>
    </xf>
    <xf numFmtId="0" fontId="39" fillId="0" borderId="57" xfId="0" applyFont="1" applyBorder="1" applyAlignment="1">
      <alignment horizontal="center" vertical="center" wrapText="1"/>
    </xf>
    <xf numFmtId="0" fontId="38" fillId="0" borderId="57" xfId="0" applyFont="1" applyBorder="1" applyAlignment="1">
      <alignment horizontal="center" vertical="center" wrapText="1"/>
    </xf>
    <xf numFmtId="0" fontId="39" fillId="0" borderId="0" xfId="0" applyFont="1" applyAlignment="1">
      <alignment horizontal="left" vertical="center"/>
    </xf>
    <xf numFmtId="0" fontId="44" fillId="0" borderId="0" xfId="0" applyFont="1" applyAlignment="1">
      <alignment horizontal="left" vertical="center" wrapText="1"/>
    </xf>
    <xf numFmtId="0" fontId="39" fillId="0" borderId="0" xfId="0" applyFont="1" applyAlignment="1">
      <alignment horizontal="center" vertical="center"/>
    </xf>
    <xf numFmtId="0" fontId="47" fillId="0" borderId="2" xfId="0" applyFont="1" applyBorder="1" applyAlignment="1">
      <alignment horizontal="center" vertical="center" wrapText="1"/>
    </xf>
    <xf numFmtId="0" fontId="48" fillId="0" borderId="2" xfId="0" applyFont="1" applyBorder="1" applyAlignment="1">
      <alignment horizontal="left" vertical="center" wrapText="1"/>
    </xf>
    <xf numFmtId="0" fontId="37" fillId="0" borderId="0" xfId="0" applyFont="1" applyAlignment="1">
      <alignment vertical="center"/>
    </xf>
    <xf numFmtId="40" fontId="39" fillId="0" borderId="0" xfId="0" applyNumberFormat="1" applyFont="1" applyAlignment="1">
      <alignment horizontal="center" vertical="center"/>
    </xf>
    <xf numFmtId="0" fontId="37" fillId="0" borderId="1" xfId="0" applyFont="1" applyBorder="1" applyAlignment="1">
      <alignment vertical="center"/>
    </xf>
    <xf numFmtId="0" fontId="44" fillId="0" borderId="1" xfId="0" applyFont="1" applyBorder="1" applyAlignment="1">
      <alignment horizontal="left" vertical="center" wrapText="1"/>
    </xf>
    <xf numFmtId="0" fontId="39" fillId="0" borderId="1" xfId="0" applyFont="1" applyBorder="1" applyAlignment="1">
      <alignment horizontal="left" vertical="center"/>
    </xf>
    <xf numFmtId="0" fontId="39" fillId="0" borderId="0" xfId="0" applyFont="1" applyAlignment="1">
      <alignment horizontal="left" vertical="center" wrapText="1"/>
    </xf>
    <xf numFmtId="43" fontId="39" fillId="0" borderId="0" xfId="1" applyFont="1" applyAlignment="1">
      <alignment horizontal="left" vertical="center" wrapText="1"/>
    </xf>
    <xf numFmtId="43" fontId="39" fillId="0" borderId="0" xfId="1" applyFont="1" applyAlignment="1">
      <alignment horizontal="center" vertical="center"/>
    </xf>
    <xf numFmtId="40" fontId="39" fillId="0" borderId="0" xfId="1" applyNumberFormat="1" applyFont="1" applyAlignment="1">
      <alignment horizontal="center" vertical="center"/>
    </xf>
    <xf numFmtId="0" fontId="37" fillId="0" borderId="2" xfId="0" applyFont="1" applyBorder="1" applyAlignment="1">
      <alignment horizontal="center" vertical="center" wrapText="1"/>
    </xf>
    <xf numFmtId="0" fontId="43" fillId="0" borderId="3" xfId="0" applyFont="1" applyBorder="1" applyAlignment="1">
      <alignment horizontal="left" vertical="center" wrapText="1"/>
    </xf>
    <xf numFmtId="43" fontId="39" fillId="0" borderId="6" xfId="1" applyFont="1" applyBorder="1" applyAlignment="1">
      <alignment horizontal="center" vertical="center" wrapText="1"/>
    </xf>
    <xf numFmtId="40" fontId="39" fillId="0" borderId="7" xfId="1" applyNumberFormat="1" applyFont="1" applyBorder="1" applyAlignment="1">
      <alignment horizontal="center" vertical="center" wrapText="1"/>
    </xf>
    <xf numFmtId="43" fontId="39" fillId="0" borderId="9" xfId="1" applyFont="1" applyBorder="1" applyAlignment="1">
      <alignment horizontal="center" vertical="center" wrapText="1"/>
    </xf>
    <xf numFmtId="40" fontId="39" fillId="0" borderId="10" xfId="1" applyNumberFormat="1" applyFont="1" applyBorder="1" applyAlignment="1">
      <alignment horizontal="center" vertical="center" wrapText="1"/>
    </xf>
    <xf numFmtId="43" fontId="39" fillId="0" borderId="57" xfId="1" applyFont="1" applyBorder="1" applyAlignment="1">
      <alignment horizontal="center" vertical="center" wrapText="1"/>
    </xf>
    <xf numFmtId="40" fontId="39" fillId="0" borderId="57" xfId="1" applyNumberFormat="1" applyFont="1" applyBorder="1" applyAlignment="1">
      <alignment horizontal="center" vertical="center" wrapText="1"/>
    </xf>
    <xf numFmtId="43" fontId="39" fillId="0" borderId="57" xfId="1" applyFont="1" applyBorder="1" applyAlignment="1">
      <alignment horizontal="center" vertical="center"/>
    </xf>
    <xf numFmtId="40" fontId="39" fillId="0" borderId="57" xfId="1" applyNumberFormat="1" applyFont="1" applyBorder="1" applyAlignment="1">
      <alignment horizontal="center" vertical="center"/>
    </xf>
    <xf numFmtId="0" fontId="7" fillId="0" borderId="43"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54" xfId="0" applyFont="1" applyBorder="1" applyAlignment="1">
      <alignment horizontal="center" vertical="center" wrapText="1"/>
    </xf>
    <xf numFmtId="0" fontId="7" fillId="0" borderId="55"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49" xfId="0" applyFont="1" applyBorder="1" applyAlignment="1">
      <alignment horizontal="center" vertical="center" wrapText="1"/>
    </xf>
    <xf numFmtId="0" fontId="7" fillId="0" borderId="50"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6" xfId="0" applyFont="1" applyBorder="1" applyAlignment="1">
      <alignment horizontal="left" vertical="center" wrapText="1"/>
    </xf>
    <xf numFmtId="0" fontId="3" fillId="0" borderId="31" xfId="0" applyFont="1" applyBorder="1" applyAlignment="1">
      <alignment horizontal="left" vertical="center" wrapText="1"/>
    </xf>
    <xf numFmtId="0" fontId="3" fillId="0" borderId="9" xfId="0" applyFont="1" applyBorder="1" applyAlignment="1">
      <alignment horizontal="left" vertical="center" wrapText="1"/>
    </xf>
    <xf numFmtId="0" fontId="3" fillId="0" borderId="32" xfId="0" applyFont="1" applyBorder="1" applyAlignment="1">
      <alignment horizontal="left" vertical="center" wrapText="1"/>
    </xf>
    <xf numFmtId="0" fontId="3" fillId="0" borderId="9" xfId="0" quotePrefix="1" applyFont="1" applyBorder="1" applyAlignment="1">
      <alignment horizontal="left" vertical="center" wrapText="1"/>
    </xf>
    <xf numFmtId="0" fontId="3" fillId="0" borderId="8" xfId="0" applyFont="1" applyBorder="1" applyAlignment="1">
      <alignment horizontal="left" vertical="center" wrapText="1"/>
    </xf>
    <xf numFmtId="0" fontId="2" fillId="0" borderId="8" xfId="0" applyFont="1" applyBorder="1" applyAlignment="1">
      <alignment horizontal="left" vertical="center" wrapText="1"/>
    </xf>
    <xf numFmtId="0" fontId="3" fillId="0" borderId="34" xfId="0" applyFont="1" applyBorder="1" applyAlignment="1">
      <alignment horizontal="left" vertical="center" wrapText="1"/>
    </xf>
    <xf numFmtId="0" fontId="2" fillId="0" borderId="34" xfId="0" applyFont="1" applyBorder="1" applyAlignment="1">
      <alignment horizontal="left" vertical="center" wrapText="1"/>
    </xf>
    <xf numFmtId="0" fontId="2" fillId="0" borderId="49" xfId="0" applyFont="1" applyBorder="1" applyAlignment="1">
      <alignment horizontal="right" vertical="center" wrapText="1"/>
    </xf>
    <xf numFmtId="0" fontId="2" fillId="0" borderId="50" xfId="0" applyFont="1" applyBorder="1" applyAlignment="1">
      <alignment horizontal="right" vertical="center" wrapText="1"/>
    </xf>
    <xf numFmtId="0" fontId="2" fillId="0" borderId="51" xfId="0" applyFont="1" applyBorder="1" applyAlignment="1">
      <alignment horizontal="right" vertical="center" wrapText="1"/>
    </xf>
    <xf numFmtId="0" fontId="2" fillId="0" borderId="9" xfId="0" applyFont="1" applyBorder="1" applyAlignment="1">
      <alignment horizontal="left" vertical="top" wrapText="1"/>
    </xf>
    <xf numFmtId="0" fontId="2" fillId="0" borderId="32" xfId="0" applyFont="1" applyBorder="1" applyAlignment="1">
      <alignment horizontal="left" vertical="top" wrapText="1"/>
    </xf>
    <xf numFmtId="0" fontId="2" fillId="0" borderId="32" xfId="0" applyFont="1" applyBorder="1" applyAlignment="1">
      <alignment horizontal="left" vertical="center" wrapText="1"/>
    </xf>
    <xf numFmtId="0" fontId="3" fillId="0" borderId="3" xfId="0" applyFont="1" applyBorder="1" applyAlignment="1">
      <alignment horizontal="center" vertical="center" wrapText="1"/>
    </xf>
    <xf numFmtId="0" fontId="3" fillId="0" borderId="28" xfId="0" applyFont="1" applyBorder="1" applyAlignment="1">
      <alignment horizontal="center" vertical="center" wrapText="1"/>
    </xf>
    <xf numFmtId="0" fontId="23" fillId="0" borderId="9" xfId="0" applyFont="1" applyBorder="1" applyAlignment="1">
      <alignment horizontal="left" vertical="center" wrapText="1"/>
    </xf>
    <xf numFmtId="0" fontId="2" fillId="0" borderId="9" xfId="0" applyFont="1" applyBorder="1" applyAlignment="1">
      <alignment horizontal="left" vertical="center" wrapText="1"/>
    </xf>
    <xf numFmtId="0" fontId="3" fillId="0" borderId="14" xfId="0" applyFont="1" applyBorder="1" applyAlignment="1">
      <alignment horizontal="left" vertical="center" wrapText="1"/>
    </xf>
    <xf numFmtId="0" fontId="3" fillId="0" borderId="38" xfId="0" applyFont="1" applyBorder="1" applyAlignment="1">
      <alignment horizontal="left" vertical="center" wrapText="1"/>
    </xf>
    <xf numFmtId="0" fontId="2" fillId="0" borderId="3" xfId="0" applyFont="1" applyBorder="1" applyAlignment="1">
      <alignment horizontal="right" vertical="center" wrapText="1"/>
    </xf>
    <xf numFmtId="0" fontId="2" fillId="0" borderId="20" xfId="0" applyFont="1" applyBorder="1" applyAlignment="1">
      <alignment horizontal="right" vertical="center" wrapText="1"/>
    </xf>
    <xf numFmtId="0" fontId="3" fillId="0" borderId="3" xfId="3" applyFont="1" applyBorder="1" applyAlignment="1">
      <alignment horizontal="right" vertical="center" wrapText="1"/>
    </xf>
    <xf numFmtId="0" fontId="1" fillId="0" borderId="18" xfId="3" applyFont="1" applyBorder="1" applyAlignment="1">
      <alignment horizontal="right" vertical="center" wrapText="1"/>
    </xf>
    <xf numFmtId="0" fontId="1" fillId="0" borderId="20" xfId="3" applyFont="1" applyBorder="1" applyAlignment="1">
      <alignment horizontal="right" vertical="center" wrapText="1"/>
    </xf>
    <xf numFmtId="0" fontId="5" fillId="0" borderId="3" xfId="3" applyFont="1" applyBorder="1" applyAlignment="1">
      <alignment horizontal="right" vertical="center" wrapText="1"/>
    </xf>
    <xf numFmtId="0" fontId="7" fillId="0" borderId="3" xfId="3" applyFont="1" applyBorder="1" applyAlignment="1">
      <alignment horizontal="right" vertical="center" wrapText="1"/>
    </xf>
    <xf numFmtId="0" fontId="40" fillId="0" borderId="3" xfId="3" applyFont="1" applyBorder="1" applyAlignment="1">
      <alignment horizontal="right" vertical="center" wrapText="1"/>
    </xf>
    <xf numFmtId="0" fontId="39" fillId="0" borderId="18" xfId="3" applyFont="1" applyBorder="1" applyAlignment="1">
      <alignment horizontal="right" vertical="center" wrapText="1"/>
    </xf>
    <xf numFmtId="0" fontId="39" fillId="0" borderId="20" xfId="3" applyFont="1" applyBorder="1" applyAlignment="1">
      <alignment horizontal="right" vertical="center" wrapText="1"/>
    </xf>
    <xf numFmtId="0" fontId="6" fillId="0" borderId="3" xfId="3" applyFont="1" applyBorder="1" applyAlignment="1">
      <alignment horizontal="right" vertical="center" wrapText="1"/>
    </xf>
    <xf numFmtId="40" fontId="39" fillId="0" borderId="1" xfId="0" applyNumberFormat="1" applyFont="1" applyBorder="1" applyAlignment="1">
      <alignment horizontal="center" vertical="center"/>
    </xf>
    <xf numFmtId="0" fontId="15" fillId="0" borderId="3" xfId="3" applyFont="1" applyBorder="1" applyAlignment="1">
      <alignment horizontal="right" vertical="center" wrapText="1"/>
    </xf>
    <xf numFmtId="0" fontId="16" fillId="0" borderId="20" xfId="3" applyFont="1" applyBorder="1" applyAlignment="1">
      <alignment horizontal="right" vertical="center" wrapText="1"/>
    </xf>
    <xf numFmtId="0" fontId="12" fillId="0" borderId="18" xfId="3" applyFont="1" applyBorder="1" applyAlignment="1">
      <alignment horizontal="right" vertical="center" wrapText="1"/>
    </xf>
    <xf numFmtId="0" fontId="12" fillId="0" borderId="20" xfId="3" applyFont="1" applyBorder="1" applyAlignment="1">
      <alignment horizontal="right" vertical="center" wrapText="1"/>
    </xf>
    <xf numFmtId="0" fontId="8" fillId="0" borderId="3" xfId="3" applyFont="1" applyBorder="1" applyAlignment="1">
      <alignment horizontal="right" vertical="center" wrapText="1"/>
    </xf>
    <xf numFmtId="0" fontId="2" fillId="0" borderId="18" xfId="3" applyBorder="1" applyAlignment="1">
      <alignment horizontal="right" vertical="center" wrapText="1"/>
    </xf>
    <xf numFmtId="0" fontId="2" fillId="0" borderId="20" xfId="3" applyBorder="1" applyAlignment="1">
      <alignment horizontal="right" vertical="center" wrapText="1"/>
    </xf>
  </cellXfs>
  <cellStyles count="6">
    <cellStyle name="一般" xfId="0" builtinId="0"/>
    <cellStyle name="一般 4" xfId="2"/>
    <cellStyle name="千分位" xfId="1" builtinId="3"/>
    <cellStyle name="常规 2" xfId="3"/>
    <cellStyle name="常规 2 2 3" xfId="4"/>
    <cellStyle name="常规 2 2 4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2114550</xdr:colOff>
      <xdr:row>36</xdr:row>
      <xdr:rowOff>0</xdr:rowOff>
    </xdr:from>
    <xdr:to>
      <xdr:col>3</xdr:col>
      <xdr:colOff>466725</xdr:colOff>
      <xdr:row>36</xdr:row>
      <xdr:rowOff>0</xdr:rowOff>
    </xdr:to>
    <xdr:cxnSp macro="">
      <xdr:nvCxnSpPr>
        <xdr:cNvPr id="3" name="直接连接符 2">
          <a:extLst>
            <a:ext uri="{FF2B5EF4-FFF2-40B4-BE49-F238E27FC236}">
              <a16:creationId xmlns="" xmlns:a16="http://schemas.microsoft.com/office/drawing/2014/main" id="{00000000-0008-0000-0000-000003000000}"/>
            </a:ext>
          </a:extLst>
        </xdr:cNvPr>
        <xdr:cNvCxnSpPr/>
      </xdr:nvCxnSpPr>
      <xdr:spPr>
        <a:xfrm>
          <a:off x="3436620" y="10644505"/>
          <a:ext cx="236347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164846</xdr:colOff>
      <xdr:row>7</xdr:row>
      <xdr:rowOff>0</xdr:rowOff>
    </xdr:from>
    <xdr:ext cx="1056640" cy="6350"/>
    <xdr:sp macro="" textlink="">
      <xdr:nvSpPr>
        <xdr:cNvPr id="2" name="Shape 10">
          <a:extLst>
            <a:ext uri="{FF2B5EF4-FFF2-40B4-BE49-F238E27FC236}">
              <a16:creationId xmlns="" xmlns:a16="http://schemas.microsoft.com/office/drawing/2014/main" id="{00000000-0008-0000-0900-000002000000}"/>
            </a:ext>
          </a:extLst>
        </xdr:cNvPr>
        <xdr:cNvSpPr/>
      </xdr:nvSpPr>
      <xdr:spPr>
        <a:xfrm>
          <a:off x="7198360"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3" name="Shape 11">
          <a:extLst>
            <a:ext uri="{FF2B5EF4-FFF2-40B4-BE49-F238E27FC236}">
              <a16:creationId xmlns="" xmlns:a16="http://schemas.microsoft.com/office/drawing/2014/main" id="{00000000-0008-0000-0900-000003000000}"/>
            </a:ext>
          </a:extLst>
        </xdr:cNvPr>
        <xdr:cNvSpPr/>
      </xdr:nvSpPr>
      <xdr:spPr>
        <a:xfrm>
          <a:off x="7198360"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4" name="Shape 13">
          <a:extLst>
            <a:ext uri="{FF2B5EF4-FFF2-40B4-BE49-F238E27FC236}">
              <a16:creationId xmlns="" xmlns:a16="http://schemas.microsoft.com/office/drawing/2014/main" id="{00000000-0008-0000-0900-000004000000}"/>
            </a:ext>
          </a:extLst>
        </xdr:cNvPr>
        <xdr:cNvSpPr/>
      </xdr:nvSpPr>
      <xdr:spPr>
        <a:xfrm>
          <a:off x="7198360"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5</xdr:col>
      <xdr:colOff>0</xdr:colOff>
      <xdr:row>7</xdr:row>
      <xdr:rowOff>0</xdr:rowOff>
    </xdr:from>
    <xdr:ext cx="1040130" cy="6350"/>
    <xdr:sp macro="" textlink="">
      <xdr:nvSpPr>
        <xdr:cNvPr id="5" name="Shape 14">
          <a:extLst>
            <a:ext uri="{FF2B5EF4-FFF2-40B4-BE49-F238E27FC236}">
              <a16:creationId xmlns="" xmlns:a16="http://schemas.microsoft.com/office/drawing/2014/main" id="{00000000-0008-0000-0900-000005000000}"/>
            </a:ext>
          </a:extLst>
        </xdr:cNvPr>
        <xdr:cNvSpPr/>
      </xdr:nvSpPr>
      <xdr:spPr>
        <a:xfrm>
          <a:off x="7878445" y="195072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6" name="Shape 10">
          <a:extLst>
            <a:ext uri="{FF2B5EF4-FFF2-40B4-BE49-F238E27FC236}">
              <a16:creationId xmlns="" xmlns:a16="http://schemas.microsoft.com/office/drawing/2014/main" id="{00000000-0008-0000-0900-000006000000}"/>
            </a:ext>
          </a:extLst>
        </xdr:cNvPr>
        <xdr:cNvSpPr/>
      </xdr:nvSpPr>
      <xdr:spPr>
        <a:xfrm>
          <a:off x="7198360"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7" name="Shape 11">
          <a:extLst>
            <a:ext uri="{FF2B5EF4-FFF2-40B4-BE49-F238E27FC236}">
              <a16:creationId xmlns="" xmlns:a16="http://schemas.microsoft.com/office/drawing/2014/main" id="{00000000-0008-0000-0900-000007000000}"/>
            </a:ext>
          </a:extLst>
        </xdr:cNvPr>
        <xdr:cNvSpPr/>
      </xdr:nvSpPr>
      <xdr:spPr>
        <a:xfrm>
          <a:off x="7198360"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8" name="Shape 13">
          <a:extLst>
            <a:ext uri="{FF2B5EF4-FFF2-40B4-BE49-F238E27FC236}">
              <a16:creationId xmlns="" xmlns:a16="http://schemas.microsoft.com/office/drawing/2014/main" id="{00000000-0008-0000-0900-000008000000}"/>
            </a:ext>
          </a:extLst>
        </xdr:cNvPr>
        <xdr:cNvSpPr/>
      </xdr:nvSpPr>
      <xdr:spPr>
        <a:xfrm>
          <a:off x="7198360"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5</xdr:col>
      <xdr:colOff>0</xdr:colOff>
      <xdr:row>7</xdr:row>
      <xdr:rowOff>0</xdr:rowOff>
    </xdr:from>
    <xdr:ext cx="1040130" cy="6350"/>
    <xdr:sp macro="" textlink="">
      <xdr:nvSpPr>
        <xdr:cNvPr id="9" name="Shape 14">
          <a:extLst>
            <a:ext uri="{FF2B5EF4-FFF2-40B4-BE49-F238E27FC236}">
              <a16:creationId xmlns="" xmlns:a16="http://schemas.microsoft.com/office/drawing/2014/main" id="{00000000-0008-0000-0900-000009000000}"/>
            </a:ext>
          </a:extLst>
        </xdr:cNvPr>
        <xdr:cNvSpPr/>
      </xdr:nvSpPr>
      <xdr:spPr>
        <a:xfrm>
          <a:off x="7878445" y="195072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10" name="Shape 10">
          <a:extLst>
            <a:ext uri="{FF2B5EF4-FFF2-40B4-BE49-F238E27FC236}">
              <a16:creationId xmlns="" xmlns:a16="http://schemas.microsoft.com/office/drawing/2014/main" id="{166D5E8D-BB3A-4F47-84AA-C1CDF47FC8F4}"/>
            </a:ext>
          </a:extLst>
        </xdr:cNvPr>
        <xdr:cNvSpPr/>
      </xdr:nvSpPr>
      <xdr:spPr>
        <a:xfrm>
          <a:off x="5841746" y="167640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11" name="Shape 11">
          <a:extLst>
            <a:ext uri="{FF2B5EF4-FFF2-40B4-BE49-F238E27FC236}">
              <a16:creationId xmlns="" xmlns:a16="http://schemas.microsoft.com/office/drawing/2014/main" id="{4287D8F6-96C8-4A89-84F8-7CA4EFA3E69F}"/>
            </a:ext>
          </a:extLst>
        </xdr:cNvPr>
        <xdr:cNvSpPr/>
      </xdr:nvSpPr>
      <xdr:spPr>
        <a:xfrm>
          <a:off x="5841746" y="167640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12" name="Shape 13">
          <a:extLst>
            <a:ext uri="{FF2B5EF4-FFF2-40B4-BE49-F238E27FC236}">
              <a16:creationId xmlns="" xmlns:a16="http://schemas.microsoft.com/office/drawing/2014/main" id="{E4539022-F339-45EE-9B7D-35EA6D3B7659}"/>
            </a:ext>
          </a:extLst>
        </xdr:cNvPr>
        <xdr:cNvSpPr/>
      </xdr:nvSpPr>
      <xdr:spPr>
        <a:xfrm>
          <a:off x="5841746" y="167640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5</xdr:col>
      <xdr:colOff>0</xdr:colOff>
      <xdr:row>7</xdr:row>
      <xdr:rowOff>0</xdr:rowOff>
    </xdr:from>
    <xdr:ext cx="1040130" cy="6350"/>
    <xdr:sp macro="" textlink="">
      <xdr:nvSpPr>
        <xdr:cNvPr id="13" name="Shape 14">
          <a:extLst>
            <a:ext uri="{FF2B5EF4-FFF2-40B4-BE49-F238E27FC236}">
              <a16:creationId xmlns="" xmlns:a16="http://schemas.microsoft.com/office/drawing/2014/main" id="{D97C360A-3E59-4DB7-99CA-5F6B735E8E27}"/>
            </a:ext>
          </a:extLst>
        </xdr:cNvPr>
        <xdr:cNvSpPr/>
      </xdr:nvSpPr>
      <xdr:spPr>
        <a:xfrm>
          <a:off x="6648450" y="167640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14" name="Shape 10">
          <a:extLst>
            <a:ext uri="{FF2B5EF4-FFF2-40B4-BE49-F238E27FC236}">
              <a16:creationId xmlns="" xmlns:a16="http://schemas.microsoft.com/office/drawing/2014/main" id="{40141C84-64F1-4FA8-A739-3F5D2C88E2E2}"/>
            </a:ext>
          </a:extLst>
        </xdr:cNvPr>
        <xdr:cNvSpPr/>
      </xdr:nvSpPr>
      <xdr:spPr>
        <a:xfrm>
          <a:off x="5841746" y="167640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15" name="Shape 11">
          <a:extLst>
            <a:ext uri="{FF2B5EF4-FFF2-40B4-BE49-F238E27FC236}">
              <a16:creationId xmlns="" xmlns:a16="http://schemas.microsoft.com/office/drawing/2014/main" id="{01DF3111-4DAC-45DD-B508-6DFF51F6953E}"/>
            </a:ext>
          </a:extLst>
        </xdr:cNvPr>
        <xdr:cNvSpPr/>
      </xdr:nvSpPr>
      <xdr:spPr>
        <a:xfrm>
          <a:off x="5841746" y="167640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16" name="Shape 13">
          <a:extLst>
            <a:ext uri="{FF2B5EF4-FFF2-40B4-BE49-F238E27FC236}">
              <a16:creationId xmlns="" xmlns:a16="http://schemas.microsoft.com/office/drawing/2014/main" id="{15F1579B-37E4-4A3D-8D67-BDD7D38B63CA}"/>
            </a:ext>
          </a:extLst>
        </xdr:cNvPr>
        <xdr:cNvSpPr/>
      </xdr:nvSpPr>
      <xdr:spPr>
        <a:xfrm>
          <a:off x="5841746" y="167640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5</xdr:col>
      <xdr:colOff>0</xdr:colOff>
      <xdr:row>7</xdr:row>
      <xdr:rowOff>0</xdr:rowOff>
    </xdr:from>
    <xdr:ext cx="1040130" cy="6350"/>
    <xdr:sp macro="" textlink="">
      <xdr:nvSpPr>
        <xdr:cNvPr id="17" name="Shape 14">
          <a:extLst>
            <a:ext uri="{FF2B5EF4-FFF2-40B4-BE49-F238E27FC236}">
              <a16:creationId xmlns="" xmlns:a16="http://schemas.microsoft.com/office/drawing/2014/main" id="{BCFCF115-3F82-4D16-8B36-A3BC884B8B4C}"/>
            </a:ext>
          </a:extLst>
        </xdr:cNvPr>
        <xdr:cNvSpPr/>
      </xdr:nvSpPr>
      <xdr:spPr>
        <a:xfrm>
          <a:off x="6648450" y="167640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5</xdr:col>
      <xdr:colOff>0</xdr:colOff>
      <xdr:row>40</xdr:row>
      <xdr:rowOff>0</xdr:rowOff>
    </xdr:from>
    <xdr:ext cx="1040130" cy="6350"/>
    <xdr:sp macro="" textlink="">
      <xdr:nvSpPr>
        <xdr:cNvPr id="18" name="Shape 15">
          <a:extLst>
            <a:ext uri="{FF2B5EF4-FFF2-40B4-BE49-F238E27FC236}">
              <a16:creationId xmlns="" xmlns:a16="http://schemas.microsoft.com/office/drawing/2014/main" id="{EF11293C-CEAA-4DCD-9D15-B364538A132B}"/>
            </a:ext>
          </a:extLst>
        </xdr:cNvPr>
        <xdr:cNvSpPr/>
      </xdr:nvSpPr>
      <xdr:spPr>
        <a:xfrm>
          <a:off x="6648450" y="859155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5</xdr:col>
      <xdr:colOff>0</xdr:colOff>
      <xdr:row>40</xdr:row>
      <xdr:rowOff>0</xdr:rowOff>
    </xdr:from>
    <xdr:ext cx="1040130" cy="6350"/>
    <xdr:sp macro="" textlink="">
      <xdr:nvSpPr>
        <xdr:cNvPr id="19" name="Shape 16">
          <a:extLst>
            <a:ext uri="{FF2B5EF4-FFF2-40B4-BE49-F238E27FC236}">
              <a16:creationId xmlns="" xmlns:a16="http://schemas.microsoft.com/office/drawing/2014/main" id="{73A8AB13-A121-415B-BF17-40355F90E49F}"/>
            </a:ext>
          </a:extLst>
        </xdr:cNvPr>
        <xdr:cNvSpPr/>
      </xdr:nvSpPr>
      <xdr:spPr>
        <a:xfrm>
          <a:off x="6648450" y="859155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5</xdr:col>
      <xdr:colOff>0</xdr:colOff>
      <xdr:row>40</xdr:row>
      <xdr:rowOff>0</xdr:rowOff>
    </xdr:from>
    <xdr:ext cx="1040130" cy="6350"/>
    <xdr:sp macro="" textlink="">
      <xdr:nvSpPr>
        <xdr:cNvPr id="20" name="Shape 17">
          <a:extLst>
            <a:ext uri="{FF2B5EF4-FFF2-40B4-BE49-F238E27FC236}">
              <a16:creationId xmlns="" xmlns:a16="http://schemas.microsoft.com/office/drawing/2014/main" id="{03252F3F-C833-40E1-AFCC-A41DE9065551}"/>
            </a:ext>
          </a:extLst>
        </xdr:cNvPr>
        <xdr:cNvSpPr/>
      </xdr:nvSpPr>
      <xdr:spPr>
        <a:xfrm>
          <a:off x="6648450" y="859155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wsDr>
</file>

<file path=xl/drawings/drawing3.xml><?xml version="1.0" encoding="utf-8"?>
<xdr:wsDr xmlns:xdr="http://schemas.openxmlformats.org/drawingml/2006/spreadsheetDrawing" xmlns:a="http://schemas.openxmlformats.org/drawingml/2006/main">
  <xdr:oneCellAnchor>
    <xdr:from>
      <xdr:col>4</xdr:col>
      <xdr:colOff>164846</xdr:colOff>
      <xdr:row>7</xdr:row>
      <xdr:rowOff>0</xdr:rowOff>
    </xdr:from>
    <xdr:ext cx="1056640" cy="6350"/>
    <xdr:sp macro="" textlink="">
      <xdr:nvSpPr>
        <xdr:cNvPr id="2" name="Shape 10">
          <a:extLst>
            <a:ext uri="{FF2B5EF4-FFF2-40B4-BE49-F238E27FC236}">
              <a16:creationId xmlns="" xmlns:a16="http://schemas.microsoft.com/office/drawing/2014/main" id="{00000000-0008-0000-0A00-000002000000}"/>
            </a:ext>
          </a:extLst>
        </xdr:cNvPr>
        <xdr:cNvSpPr/>
      </xdr:nvSpPr>
      <xdr:spPr>
        <a:xfrm>
          <a:off x="7031355"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3" name="Shape 11">
          <a:extLst>
            <a:ext uri="{FF2B5EF4-FFF2-40B4-BE49-F238E27FC236}">
              <a16:creationId xmlns="" xmlns:a16="http://schemas.microsoft.com/office/drawing/2014/main" id="{00000000-0008-0000-0A00-000003000000}"/>
            </a:ext>
          </a:extLst>
        </xdr:cNvPr>
        <xdr:cNvSpPr/>
      </xdr:nvSpPr>
      <xdr:spPr>
        <a:xfrm>
          <a:off x="7031355"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4" name="Shape 13">
          <a:extLst>
            <a:ext uri="{FF2B5EF4-FFF2-40B4-BE49-F238E27FC236}">
              <a16:creationId xmlns="" xmlns:a16="http://schemas.microsoft.com/office/drawing/2014/main" id="{00000000-0008-0000-0A00-000004000000}"/>
            </a:ext>
          </a:extLst>
        </xdr:cNvPr>
        <xdr:cNvSpPr/>
      </xdr:nvSpPr>
      <xdr:spPr>
        <a:xfrm>
          <a:off x="7031355"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5</xdr:col>
      <xdr:colOff>0</xdr:colOff>
      <xdr:row>7</xdr:row>
      <xdr:rowOff>0</xdr:rowOff>
    </xdr:from>
    <xdr:ext cx="1040130" cy="6350"/>
    <xdr:sp macro="" textlink="">
      <xdr:nvSpPr>
        <xdr:cNvPr id="5" name="Shape 14">
          <a:extLst>
            <a:ext uri="{FF2B5EF4-FFF2-40B4-BE49-F238E27FC236}">
              <a16:creationId xmlns="" xmlns:a16="http://schemas.microsoft.com/office/drawing/2014/main" id="{00000000-0008-0000-0A00-000005000000}"/>
            </a:ext>
          </a:extLst>
        </xdr:cNvPr>
        <xdr:cNvSpPr/>
      </xdr:nvSpPr>
      <xdr:spPr>
        <a:xfrm>
          <a:off x="7822565" y="195072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6" name="Shape 10">
          <a:extLst>
            <a:ext uri="{FF2B5EF4-FFF2-40B4-BE49-F238E27FC236}">
              <a16:creationId xmlns="" xmlns:a16="http://schemas.microsoft.com/office/drawing/2014/main" id="{00000000-0008-0000-0A00-000006000000}"/>
            </a:ext>
          </a:extLst>
        </xdr:cNvPr>
        <xdr:cNvSpPr/>
      </xdr:nvSpPr>
      <xdr:spPr>
        <a:xfrm>
          <a:off x="7031355"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7" name="Shape 11">
          <a:extLst>
            <a:ext uri="{FF2B5EF4-FFF2-40B4-BE49-F238E27FC236}">
              <a16:creationId xmlns="" xmlns:a16="http://schemas.microsoft.com/office/drawing/2014/main" id="{00000000-0008-0000-0A00-000007000000}"/>
            </a:ext>
          </a:extLst>
        </xdr:cNvPr>
        <xdr:cNvSpPr/>
      </xdr:nvSpPr>
      <xdr:spPr>
        <a:xfrm>
          <a:off x="7031355"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8" name="Shape 13">
          <a:extLst>
            <a:ext uri="{FF2B5EF4-FFF2-40B4-BE49-F238E27FC236}">
              <a16:creationId xmlns="" xmlns:a16="http://schemas.microsoft.com/office/drawing/2014/main" id="{00000000-0008-0000-0A00-000008000000}"/>
            </a:ext>
          </a:extLst>
        </xdr:cNvPr>
        <xdr:cNvSpPr/>
      </xdr:nvSpPr>
      <xdr:spPr>
        <a:xfrm>
          <a:off x="7031355"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5</xdr:col>
      <xdr:colOff>0</xdr:colOff>
      <xdr:row>7</xdr:row>
      <xdr:rowOff>0</xdr:rowOff>
    </xdr:from>
    <xdr:ext cx="1040130" cy="6350"/>
    <xdr:sp macro="" textlink="">
      <xdr:nvSpPr>
        <xdr:cNvPr id="9" name="Shape 14">
          <a:extLst>
            <a:ext uri="{FF2B5EF4-FFF2-40B4-BE49-F238E27FC236}">
              <a16:creationId xmlns="" xmlns:a16="http://schemas.microsoft.com/office/drawing/2014/main" id="{00000000-0008-0000-0A00-000009000000}"/>
            </a:ext>
          </a:extLst>
        </xdr:cNvPr>
        <xdr:cNvSpPr/>
      </xdr:nvSpPr>
      <xdr:spPr>
        <a:xfrm>
          <a:off x="7822565" y="195072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7"/>
  <sheetViews>
    <sheetView showZeros="0" view="pageBreakPreview" topLeftCell="A16" zoomScaleNormal="100" workbookViewId="0">
      <selection activeCell="C19" sqref="C19"/>
    </sheetView>
  </sheetViews>
  <sheetFormatPr defaultColWidth="9.33203125" defaultRowHeight="13.5"/>
  <cols>
    <col min="1" max="1" width="5.83203125" style="321" customWidth="1"/>
    <col min="2" max="2" width="14" style="321" customWidth="1"/>
    <col min="3" max="3" width="60.1640625" style="321" customWidth="1"/>
    <col min="4" max="4" width="20.5" style="64" customWidth="1"/>
    <col min="5" max="16384" width="9.33203125" style="321"/>
  </cols>
  <sheetData>
    <row r="1" spans="1:4" ht="20.100000000000001" customHeight="1">
      <c r="A1" s="259"/>
      <c r="B1" s="322"/>
      <c r="C1" s="322"/>
      <c r="D1" s="66" t="s">
        <v>0</v>
      </c>
    </row>
    <row r="2" spans="1:4" ht="20.100000000000001" customHeight="1">
      <c r="A2" s="259"/>
      <c r="B2" s="322"/>
      <c r="C2" s="322"/>
      <c r="D2" s="66" t="s">
        <v>1</v>
      </c>
    </row>
    <row r="3" spans="1:4" ht="20.100000000000001" customHeight="1">
      <c r="A3" s="323"/>
      <c r="B3" s="324"/>
      <c r="C3" s="324"/>
      <c r="D3" s="71" t="s">
        <v>2</v>
      </c>
    </row>
    <row r="4" spans="1:4" ht="20.100000000000001" customHeight="1">
      <c r="A4" s="259"/>
      <c r="B4" s="322"/>
      <c r="C4" s="322"/>
      <c r="D4" s="66"/>
    </row>
    <row r="5" spans="1:4" ht="20.100000000000001" customHeight="1">
      <c r="A5" s="259" t="s">
        <v>3</v>
      </c>
      <c r="B5" s="322"/>
      <c r="C5" s="322"/>
      <c r="D5" s="66"/>
    </row>
    <row r="6" spans="1:4" ht="20.100000000000001" customHeight="1">
      <c r="A6" s="72" t="s">
        <v>4</v>
      </c>
      <c r="B6" s="325"/>
      <c r="C6" s="325"/>
      <c r="D6" s="326"/>
    </row>
    <row r="7" spans="1:4" ht="20.100000000000001" customHeight="1">
      <c r="A7" s="72" t="s">
        <v>5</v>
      </c>
      <c r="B7" s="325"/>
      <c r="C7" s="325"/>
      <c r="D7" s="326"/>
    </row>
    <row r="8" spans="1:4" ht="20.100000000000001" customHeight="1">
      <c r="A8" s="72"/>
      <c r="B8" s="325"/>
      <c r="C8" s="325"/>
      <c r="D8" s="326"/>
    </row>
    <row r="9" spans="1:4" ht="20.100000000000001" customHeight="1">
      <c r="A9" s="72" t="s">
        <v>6</v>
      </c>
      <c r="B9" s="325"/>
      <c r="C9" s="325"/>
      <c r="D9" s="326"/>
    </row>
    <row r="10" spans="1:4" ht="20.100000000000001" customHeight="1">
      <c r="A10" s="72"/>
      <c r="B10" s="325"/>
      <c r="C10" s="325"/>
      <c r="D10" s="326"/>
    </row>
    <row r="11" spans="1:4" ht="24.95" customHeight="1">
      <c r="A11" s="434" t="s">
        <v>7</v>
      </c>
      <c r="B11" s="435"/>
      <c r="C11" s="435"/>
      <c r="D11" s="436"/>
    </row>
    <row r="12" spans="1:4" ht="29.1" customHeight="1">
      <c r="A12" s="437" t="s">
        <v>8</v>
      </c>
      <c r="B12" s="438"/>
      <c r="C12" s="438"/>
      <c r="D12" s="327" t="s">
        <v>9</v>
      </c>
    </row>
    <row r="13" spans="1:4" ht="24.95" customHeight="1">
      <c r="A13" s="328" t="s">
        <v>10</v>
      </c>
      <c r="B13" s="329" t="s">
        <v>11</v>
      </c>
      <c r="C13" s="329" t="s">
        <v>12</v>
      </c>
      <c r="D13" s="83"/>
    </row>
    <row r="14" spans="1:4" ht="24.95" customHeight="1">
      <c r="A14" s="328" t="s">
        <v>13</v>
      </c>
      <c r="B14" s="329" t="s">
        <v>14</v>
      </c>
      <c r="C14" s="329" t="s">
        <v>15</v>
      </c>
      <c r="D14" s="83"/>
    </row>
    <row r="15" spans="1:4" ht="24.95" customHeight="1">
      <c r="A15" s="328" t="s">
        <v>16</v>
      </c>
      <c r="B15" s="329" t="s">
        <v>17</v>
      </c>
      <c r="C15" s="329" t="s">
        <v>18</v>
      </c>
      <c r="D15" s="83"/>
    </row>
    <row r="16" spans="1:4" ht="24.95" customHeight="1">
      <c r="A16" s="328" t="s">
        <v>19</v>
      </c>
      <c r="B16" s="329" t="s">
        <v>20</v>
      </c>
      <c r="C16" s="329" t="s">
        <v>21</v>
      </c>
      <c r="D16" s="83"/>
    </row>
    <row r="17" spans="1:4" ht="24.95" customHeight="1">
      <c r="A17" s="328" t="s">
        <v>22</v>
      </c>
      <c r="B17" s="329" t="s">
        <v>23</v>
      </c>
      <c r="C17" s="329" t="s">
        <v>24</v>
      </c>
      <c r="D17" s="83"/>
    </row>
    <row r="18" spans="1:4" ht="24.95" customHeight="1">
      <c r="A18" s="328" t="s">
        <v>25</v>
      </c>
      <c r="B18" s="329" t="s">
        <v>26</v>
      </c>
      <c r="C18" s="329" t="s">
        <v>27</v>
      </c>
      <c r="D18" s="83"/>
    </row>
    <row r="19" spans="1:4" ht="24.95" customHeight="1">
      <c r="A19" s="328" t="s">
        <v>28</v>
      </c>
      <c r="B19" s="329" t="s">
        <v>29</v>
      </c>
      <c r="C19" s="329" t="s">
        <v>30</v>
      </c>
      <c r="D19" s="83"/>
    </row>
    <row r="20" spans="1:4" ht="24.95" customHeight="1">
      <c r="A20" s="328" t="s">
        <v>31</v>
      </c>
      <c r="B20" s="329" t="s">
        <v>32</v>
      </c>
      <c r="C20" s="329" t="s">
        <v>33</v>
      </c>
      <c r="D20" s="83"/>
    </row>
    <row r="21" spans="1:4" ht="24.95" customHeight="1">
      <c r="A21" s="328" t="s">
        <v>34</v>
      </c>
      <c r="B21" s="329" t="s">
        <v>35</v>
      </c>
      <c r="C21" s="329" t="s">
        <v>36</v>
      </c>
      <c r="D21" s="83"/>
    </row>
    <row r="22" spans="1:4" ht="24.95" customHeight="1">
      <c r="A22" s="328" t="s">
        <v>37</v>
      </c>
      <c r="B22" s="329" t="s">
        <v>38</v>
      </c>
      <c r="C22" s="329" t="s">
        <v>39</v>
      </c>
      <c r="D22" s="83"/>
    </row>
    <row r="23" spans="1:4" ht="24.95" customHeight="1">
      <c r="A23" s="328" t="s">
        <v>40</v>
      </c>
      <c r="B23" s="329" t="s">
        <v>41</v>
      </c>
      <c r="C23" s="329" t="s">
        <v>42</v>
      </c>
      <c r="D23" s="83"/>
    </row>
    <row r="24" spans="1:4" ht="24.95" customHeight="1">
      <c r="A24" s="328" t="s">
        <v>43</v>
      </c>
      <c r="B24" s="329" t="s">
        <v>44</v>
      </c>
      <c r="C24" s="329" t="s">
        <v>45</v>
      </c>
      <c r="D24" s="83"/>
    </row>
    <row r="25" spans="1:4" ht="24.95" customHeight="1">
      <c r="A25" s="328" t="s">
        <v>46</v>
      </c>
      <c r="B25" s="329" t="s">
        <v>47</v>
      </c>
      <c r="C25" s="329" t="s">
        <v>48</v>
      </c>
      <c r="D25" s="83"/>
    </row>
    <row r="26" spans="1:4" ht="24.95" customHeight="1">
      <c r="A26" s="328"/>
      <c r="B26" s="330" t="s">
        <v>49</v>
      </c>
      <c r="C26" s="329"/>
      <c r="D26" s="83"/>
    </row>
    <row r="27" spans="1:4" ht="77.25" customHeight="1">
      <c r="A27" s="331"/>
      <c r="B27" s="332"/>
      <c r="C27" s="332"/>
      <c r="D27" s="110"/>
    </row>
    <row r="28" spans="1:4" ht="51.75" customHeight="1">
      <c r="A28" s="439" t="s">
        <v>50</v>
      </c>
      <c r="B28" s="440"/>
      <c r="C28" s="440"/>
      <c r="D28" s="333">
        <f>SUM(D13:D27)</f>
        <v>0</v>
      </c>
    </row>
    <row r="31" spans="1:4">
      <c r="C31" s="334" t="s">
        <v>51</v>
      </c>
    </row>
    <row r="37" spans="3:3">
      <c r="C37" s="334" t="s">
        <v>52</v>
      </c>
    </row>
  </sheetData>
  <mergeCells count="3">
    <mergeCell ref="A11:D11"/>
    <mergeCell ref="A12:C12"/>
    <mergeCell ref="A28:C28"/>
  </mergeCells>
  <phoneticPr fontId="34" type="noConversion"/>
  <printOptions horizontalCentered="1"/>
  <pageMargins left="0.511811023622047" right="0.31496062992126" top="0.55118110236220497" bottom="0.55118110236220497" header="0.31496062992126" footer="0.31496062992126"/>
  <pageSetup paperSize="9" scale="80" orientation="portrait" r:id="rId1"/>
  <headerFooter>
    <oddFooter>&amp;R&amp;"宋体,常规"BQ-SP-P.&amp;P/&amp;N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4"/>
  <sheetViews>
    <sheetView showZeros="0" view="pageBreakPreview" zoomScaleNormal="85" workbookViewId="0">
      <selection activeCell="B188" sqref="B188"/>
    </sheetView>
  </sheetViews>
  <sheetFormatPr defaultColWidth="9.33203125" defaultRowHeight="29.25" customHeight="1"/>
  <cols>
    <col min="1" max="1" width="11.33203125" style="61" customWidth="1"/>
    <col min="2" max="2" width="55.1640625" style="165" customWidth="1"/>
    <col min="3" max="3" width="12.1640625" style="166" customWidth="1"/>
    <col min="4" max="4" width="8" style="166" customWidth="1"/>
    <col min="5" max="5" width="12.6640625" style="63" customWidth="1"/>
    <col min="6" max="6" width="18.6640625" style="64" customWidth="1"/>
    <col min="7" max="16384" width="9.33203125" style="61"/>
  </cols>
  <sheetData>
    <row r="1" spans="1:6" ht="29.25" customHeight="1">
      <c r="A1" s="415"/>
      <c r="B1" s="411"/>
      <c r="C1" s="410"/>
      <c r="D1" s="410"/>
      <c r="E1" s="412"/>
      <c r="F1" s="416" t="s">
        <v>0</v>
      </c>
    </row>
    <row r="2" spans="1:6" ht="29.25" customHeight="1">
      <c r="A2" s="415"/>
      <c r="B2" s="411"/>
      <c r="C2" s="410"/>
      <c r="D2" s="410"/>
      <c r="E2" s="412"/>
      <c r="F2" s="416" t="s">
        <v>313</v>
      </c>
    </row>
    <row r="3" spans="1:6" ht="29.25" customHeight="1">
      <c r="A3" s="417"/>
      <c r="B3" s="418"/>
      <c r="C3" s="419"/>
      <c r="D3" s="475" t="s">
        <v>314</v>
      </c>
      <c r="E3" s="475"/>
      <c r="F3" s="475"/>
    </row>
    <row r="4" spans="1:6" ht="29.25" customHeight="1">
      <c r="A4" s="356" t="s">
        <v>1819</v>
      </c>
      <c r="B4" s="411"/>
      <c r="C4" s="420"/>
      <c r="D4" s="421"/>
      <c r="E4" s="412"/>
      <c r="F4" s="416"/>
    </row>
    <row r="5" spans="1:6" ht="29.25" customHeight="1">
      <c r="A5" s="356"/>
      <c r="B5" s="411"/>
      <c r="C5" s="420"/>
      <c r="D5" s="420"/>
      <c r="E5" s="412"/>
      <c r="F5" s="416"/>
    </row>
    <row r="6" spans="1:6" ht="29.25" customHeight="1">
      <c r="A6" s="356" t="s">
        <v>1820</v>
      </c>
      <c r="B6" s="411"/>
      <c r="C6" s="412"/>
      <c r="D6" s="412"/>
      <c r="E6" s="422"/>
      <c r="F6" s="423"/>
    </row>
    <row r="7" spans="1:6" s="1" customFormat="1" ht="29.25" customHeight="1">
      <c r="A7" s="424" t="s">
        <v>166</v>
      </c>
      <c r="B7" s="425" t="s">
        <v>167</v>
      </c>
      <c r="C7" s="424" t="s">
        <v>168</v>
      </c>
      <c r="D7" s="424" t="s">
        <v>169</v>
      </c>
      <c r="E7" s="368" t="s">
        <v>1429</v>
      </c>
      <c r="F7" s="369" t="s">
        <v>1430</v>
      </c>
    </row>
    <row r="8" spans="1:6" ht="29.25" customHeight="1">
      <c r="A8" s="400"/>
      <c r="B8" s="401" t="s">
        <v>170</v>
      </c>
      <c r="C8" s="402"/>
      <c r="D8" s="402"/>
      <c r="E8" s="426"/>
      <c r="F8" s="427"/>
    </row>
    <row r="9" spans="1:6" ht="29.25" customHeight="1">
      <c r="A9" s="403" t="s">
        <v>171</v>
      </c>
      <c r="B9" s="401" t="s">
        <v>1681</v>
      </c>
      <c r="C9" s="404"/>
      <c r="D9" s="404"/>
      <c r="E9" s="428"/>
      <c r="F9" s="429"/>
    </row>
    <row r="10" spans="1:6" ht="29.25" customHeight="1">
      <c r="A10" s="403"/>
      <c r="B10" s="401" t="s">
        <v>1682</v>
      </c>
      <c r="C10" s="404"/>
      <c r="D10" s="404"/>
      <c r="E10" s="428"/>
      <c r="F10" s="429"/>
    </row>
    <row r="11" spans="1:6" ht="29.25" customHeight="1">
      <c r="A11" s="405"/>
      <c r="B11" s="401" t="s">
        <v>1683</v>
      </c>
      <c r="C11" s="404"/>
      <c r="D11" s="404"/>
      <c r="E11" s="428"/>
      <c r="F11" s="429"/>
    </row>
    <row r="12" spans="1:6" ht="29.25" customHeight="1">
      <c r="A12" s="405"/>
      <c r="B12" s="401" t="s">
        <v>1101</v>
      </c>
      <c r="C12" s="404"/>
      <c r="D12" s="404"/>
      <c r="E12" s="428"/>
      <c r="F12" s="429"/>
    </row>
    <row r="13" spans="1:6" ht="29.25" customHeight="1">
      <c r="A13" s="405"/>
      <c r="B13" s="401" t="s">
        <v>1684</v>
      </c>
      <c r="C13" s="404"/>
      <c r="D13" s="404"/>
      <c r="E13" s="428"/>
      <c r="F13" s="429"/>
    </row>
    <row r="14" spans="1:6" ht="29.25" customHeight="1">
      <c r="A14" s="405"/>
      <c r="B14" s="401" t="s">
        <v>1685</v>
      </c>
      <c r="C14" s="404"/>
      <c r="D14" s="404"/>
      <c r="E14" s="428"/>
      <c r="F14" s="429"/>
    </row>
    <row r="15" spans="1:6" ht="29.25" customHeight="1">
      <c r="A15" s="405"/>
      <c r="B15" s="401" t="s">
        <v>1104</v>
      </c>
      <c r="C15" s="404"/>
      <c r="D15" s="404"/>
      <c r="E15" s="428"/>
      <c r="F15" s="429"/>
    </row>
    <row r="16" spans="1:6" ht="29.25" customHeight="1">
      <c r="A16" s="405"/>
      <c r="B16" s="401"/>
      <c r="C16" s="404"/>
      <c r="D16" s="404"/>
      <c r="E16" s="428"/>
      <c r="F16" s="429"/>
    </row>
    <row r="17" spans="1:6" ht="29.25" customHeight="1">
      <c r="A17" s="403" t="s">
        <v>171</v>
      </c>
      <c r="B17" s="401" t="s">
        <v>1686</v>
      </c>
      <c r="C17" s="404"/>
      <c r="D17" s="404"/>
      <c r="E17" s="428"/>
      <c r="F17" s="429"/>
    </row>
    <row r="18" spans="1:6" ht="29.25" customHeight="1">
      <c r="A18" s="405"/>
      <c r="B18" s="401" t="s">
        <v>1687</v>
      </c>
      <c r="C18" s="404"/>
      <c r="D18" s="404"/>
      <c r="E18" s="428"/>
      <c r="F18" s="429"/>
    </row>
    <row r="19" spans="1:6" ht="29.25" customHeight="1">
      <c r="A19" s="405"/>
      <c r="B19" s="401" t="s">
        <v>1688</v>
      </c>
      <c r="C19" s="404"/>
      <c r="D19" s="404"/>
      <c r="E19" s="428"/>
      <c r="F19" s="429"/>
    </row>
    <row r="20" spans="1:6" ht="29.25" customHeight="1">
      <c r="A20" s="405"/>
      <c r="B20" s="401" t="s">
        <v>1108</v>
      </c>
      <c r="C20" s="404"/>
      <c r="D20" s="404"/>
      <c r="E20" s="428"/>
      <c r="F20" s="429"/>
    </row>
    <row r="21" spans="1:6" ht="29.25" customHeight="1">
      <c r="A21" s="405"/>
      <c r="B21" s="401" t="s">
        <v>1689</v>
      </c>
      <c r="C21" s="404"/>
      <c r="D21" s="404"/>
      <c r="E21" s="428"/>
      <c r="F21" s="429"/>
    </row>
    <row r="22" spans="1:6" ht="29.25" customHeight="1">
      <c r="A22" s="405"/>
      <c r="B22" s="401" t="s">
        <v>1690</v>
      </c>
      <c r="C22" s="404"/>
      <c r="D22" s="404"/>
      <c r="E22" s="428"/>
      <c r="F22" s="429"/>
    </row>
    <row r="23" spans="1:6" ht="29.25" customHeight="1">
      <c r="A23" s="405"/>
      <c r="B23" s="401" t="s">
        <v>1111</v>
      </c>
      <c r="C23" s="404"/>
      <c r="D23" s="404"/>
      <c r="E23" s="428"/>
      <c r="F23" s="429"/>
    </row>
    <row r="24" spans="1:6" ht="29.25" customHeight="1">
      <c r="A24" s="405"/>
      <c r="B24" s="401"/>
      <c r="C24" s="404"/>
      <c r="D24" s="404"/>
      <c r="E24" s="428"/>
      <c r="F24" s="429"/>
    </row>
    <row r="25" spans="1:6" ht="29.25" customHeight="1">
      <c r="A25" s="403" t="s">
        <v>171</v>
      </c>
      <c r="B25" s="401" t="s">
        <v>1112</v>
      </c>
      <c r="C25" s="404"/>
      <c r="D25" s="404"/>
      <c r="E25" s="428"/>
      <c r="F25" s="429"/>
    </row>
    <row r="26" spans="1:6" ht="29.25" customHeight="1">
      <c r="A26" s="405"/>
      <c r="B26" s="401" t="s">
        <v>1691</v>
      </c>
      <c r="C26" s="404"/>
      <c r="D26" s="404"/>
      <c r="E26" s="428"/>
      <c r="F26" s="429"/>
    </row>
    <row r="27" spans="1:6" ht="29.25" customHeight="1">
      <c r="A27" s="405"/>
      <c r="B27" s="401" t="s">
        <v>1114</v>
      </c>
      <c r="C27" s="404"/>
      <c r="D27" s="404"/>
      <c r="E27" s="428"/>
      <c r="F27" s="429"/>
    </row>
    <row r="28" spans="1:6" ht="29.25" customHeight="1">
      <c r="A28" s="405"/>
      <c r="B28" s="401" t="s">
        <v>1115</v>
      </c>
      <c r="C28" s="404"/>
      <c r="D28" s="404"/>
      <c r="E28" s="428"/>
      <c r="F28" s="429"/>
    </row>
    <row r="29" spans="1:6" ht="29.25" customHeight="1">
      <c r="A29" s="405"/>
      <c r="B29" s="401"/>
      <c r="C29" s="404"/>
      <c r="D29" s="404"/>
      <c r="E29" s="428"/>
      <c r="F29" s="429"/>
    </row>
    <row r="30" spans="1:6" ht="29.25" customHeight="1">
      <c r="A30" s="403" t="s">
        <v>171</v>
      </c>
      <c r="B30" s="401" t="s">
        <v>1692</v>
      </c>
      <c r="C30" s="404"/>
      <c r="D30" s="404"/>
      <c r="E30" s="428"/>
      <c r="F30" s="429"/>
    </row>
    <row r="31" spans="1:6" ht="29.25" customHeight="1">
      <c r="A31" s="405"/>
      <c r="B31" s="401" t="s">
        <v>1693</v>
      </c>
      <c r="C31" s="404"/>
      <c r="D31" s="404"/>
      <c r="E31" s="428"/>
      <c r="F31" s="429"/>
    </row>
    <row r="32" spans="1:6" ht="29.25" customHeight="1">
      <c r="A32" s="405"/>
      <c r="B32" s="401" t="s">
        <v>1694</v>
      </c>
      <c r="C32" s="404"/>
      <c r="D32" s="404"/>
      <c r="E32" s="428"/>
      <c r="F32" s="429"/>
    </row>
    <row r="33" spans="1:6" ht="29.25" customHeight="1">
      <c r="A33" s="405"/>
      <c r="B33" s="401" t="s">
        <v>1117</v>
      </c>
      <c r="C33" s="404"/>
      <c r="D33" s="404"/>
      <c r="E33" s="428"/>
      <c r="F33" s="429"/>
    </row>
    <row r="34" spans="1:6" ht="29.25" customHeight="1">
      <c r="A34" s="405"/>
      <c r="B34" s="401" t="s">
        <v>1118</v>
      </c>
      <c r="C34" s="404"/>
      <c r="D34" s="404"/>
      <c r="E34" s="428"/>
      <c r="F34" s="429"/>
    </row>
    <row r="35" spans="1:6" ht="29.25" customHeight="1">
      <c r="A35" s="405"/>
      <c r="B35" s="401"/>
      <c r="C35" s="404"/>
      <c r="D35" s="404"/>
      <c r="E35" s="428"/>
      <c r="F35" s="429"/>
    </row>
    <row r="36" spans="1:6" ht="29.25" customHeight="1">
      <c r="A36" s="403" t="s">
        <v>171</v>
      </c>
      <c r="B36" s="401" t="s">
        <v>1695</v>
      </c>
      <c r="C36" s="404"/>
      <c r="D36" s="404"/>
      <c r="E36" s="428"/>
      <c r="F36" s="429"/>
    </row>
    <row r="37" spans="1:6" ht="29.25" customHeight="1">
      <c r="A37" s="405"/>
      <c r="B37" s="401" t="s">
        <v>1696</v>
      </c>
      <c r="C37" s="404"/>
      <c r="D37" s="404"/>
      <c r="E37" s="428"/>
      <c r="F37" s="429"/>
    </row>
    <row r="38" spans="1:6" ht="29.25" customHeight="1">
      <c r="A38" s="405"/>
      <c r="B38" s="401" t="s">
        <v>1697</v>
      </c>
      <c r="C38" s="404"/>
      <c r="D38" s="404"/>
      <c r="E38" s="428"/>
      <c r="F38" s="429"/>
    </row>
    <row r="39" spans="1:6" ht="29.25" customHeight="1">
      <c r="A39" s="405"/>
      <c r="B39" s="401" t="s">
        <v>1120</v>
      </c>
      <c r="C39" s="404"/>
      <c r="D39" s="404"/>
      <c r="E39" s="428"/>
      <c r="F39" s="429"/>
    </row>
    <row r="40" spans="1:6" ht="29.25" customHeight="1">
      <c r="A40" s="406"/>
      <c r="B40" s="407"/>
      <c r="C40" s="408"/>
      <c r="D40" s="408"/>
      <c r="E40" s="430"/>
      <c r="F40" s="431"/>
    </row>
    <row r="41" spans="1:6" ht="29.25" customHeight="1">
      <c r="A41" s="409" t="s">
        <v>1698</v>
      </c>
      <c r="B41" s="407" t="s">
        <v>1699</v>
      </c>
      <c r="C41" s="409"/>
      <c r="D41" s="409"/>
      <c r="E41" s="432"/>
      <c r="F41" s="433"/>
    </row>
    <row r="42" spans="1:6" ht="29.25" customHeight="1">
      <c r="A42" s="409"/>
      <c r="B42" s="407"/>
      <c r="C42" s="409"/>
      <c r="D42" s="409"/>
      <c r="E42" s="432"/>
      <c r="F42" s="433"/>
    </row>
    <row r="43" spans="1:6" ht="29.25" customHeight="1">
      <c r="A43" s="409" t="s">
        <v>1700</v>
      </c>
      <c r="B43" s="407" t="s">
        <v>1701</v>
      </c>
      <c r="C43" s="409">
        <v>19</v>
      </c>
      <c r="D43" s="409" t="s">
        <v>628</v>
      </c>
      <c r="E43" s="432"/>
      <c r="F43" s="433"/>
    </row>
    <row r="44" spans="1:6" ht="29.25" customHeight="1">
      <c r="A44" s="409" t="s">
        <v>1121</v>
      </c>
      <c r="B44" s="407" t="s">
        <v>1702</v>
      </c>
      <c r="C44" s="409">
        <v>150</v>
      </c>
      <c r="D44" s="409" t="s">
        <v>628</v>
      </c>
      <c r="E44" s="432"/>
      <c r="F44" s="433"/>
    </row>
    <row r="45" spans="1:6" ht="29.25" customHeight="1">
      <c r="A45" s="409" t="s">
        <v>1122</v>
      </c>
      <c r="B45" s="407" t="s">
        <v>1703</v>
      </c>
      <c r="C45" s="409">
        <v>20</v>
      </c>
      <c r="D45" s="409" t="s">
        <v>628</v>
      </c>
      <c r="E45" s="432"/>
      <c r="F45" s="433"/>
    </row>
    <row r="46" spans="1:6" ht="29.25" customHeight="1">
      <c r="A46" s="409" t="s">
        <v>1123</v>
      </c>
      <c r="B46" s="407" t="s">
        <v>1704</v>
      </c>
      <c r="C46" s="409">
        <v>30080</v>
      </c>
      <c r="D46" s="409" t="s">
        <v>1705</v>
      </c>
      <c r="E46" s="432"/>
      <c r="F46" s="433"/>
    </row>
    <row r="47" spans="1:6" ht="29.25" customHeight="1">
      <c r="A47" s="409" t="s">
        <v>1124</v>
      </c>
      <c r="B47" s="407" t="s">
        <v>1706</v>
      </c>
      <c r="C47" s="409">
        <v>14</v>
      </c>
      <c r="D47" s="409" t="s">
        <v>628</v>
      </c>
      <c r="E47" s="432"/>
      <c r="F47" s="433"/>
    </row>
    <row r="48" spans="1:6" s="64" customFormat="1" ht="29.25" customHeight="1">
      <c r="A48" s="409" t="s">
        <v>1125</v>
      </c>
      <c r="B48" s="407" t="s">
        <v>1707</v>
      </c>
      <c r="C48" s="409">
        <v>14</v>
      </c>
      <c r="D48" s="409" t="s">
        <v>628</v>
      </c>
      <c r="E48" s="432"/>
      <c r="F48" s="433"/>
    </row>
    <row r="49" spans="1:6" s="64" customFormat="1" ht="29.25" customHeight="1">
      <c r="A49" s="409" t="s">
        <v>1126</v>
      </c>
      <c r="B49" s="407" t="s">
        <v>1708</v>
      </c>
      <c r="C49" s="409">
        <f>C44*2+C43</f>
        <v>319</v>
      </c>
      <c r="D49" s="409" t="s">
        <v>628</v>
      </c>
      <c r="E49" s="432"/>
      <c r="F49" s="433"/>
    </row>
    <row r="50" spans="1:6" s="64" customFormat="1" ht="29.25" customHeight="1">
      <c r="A50" s="409" t="s">
        <v>1127</v>
      </c>
      <c r="B50" s="407" t="s">
        <v>1709</v>
      </c>
      <c r="C50" s="409">
        <v>3</v>
      </c>
      <c r="D50" s="409" t="s">
        <v>628</v>
      </c>
      <c r="E50" s="432"/>
      <c r="F50" s="433"/>
    </row>
    <row r="51" spans="1:6" s="64" customFormat="1" ht="29.25" customHeight="1">
      <c r="A51" s="409" t="s">
        <v>1128</v>
      </c>
      <c r="B51" s="407" t="s">
        <v>1710</v>
      </c>
      <c r="C51" s="409">
        <v>1</v>
      </c>
      <c r="D51" s="409" t="s">
        <v>628</v>
      </c>
      <c r="E51" s="432"/>
      <c r="F51" s="433"/>
    </row>
    <row r="52" spans="1:6" s="64" customFormat="1" ht="29.25" customHeight="1">
      <c r="A52" s="409" t="s">
        <v>1129</v>
      </c>
      <c r="B52" s="407" t="s">
        <v>1711</v>
      </c>
      <c r="C52" s="409">
        <v>1</v>
      </c>
      <c r="D52" s="409" t="s">
        <v>1021</v>
      </c>
      <c r="E52" s="432"/>
      <c r="F52" s="433"/>
    </row>
    <row r="53" spans="1:6" s="64" customFormat="1" ht="29.25" customHeight="1">
      <c r="A53" s="409" t="s">
        <v>1130</v>
      </c>
      <c r="B53" s="407" t="s">
        <v>1712</v>
      </c>
      <c r="C53" s="409">
        <v>336</v>
      </c>
      <c r="D53" s="409" t="s">
        <v>1705</v>
      </c>
      <c r="E53" s="432"/>
      <c r="F53" s="433"/>
    </row>
    <row r="54" spans="1:6" s="64" customFormat="1" ht="29.25" customHeight="1">
      <c r="A54" s="410"/>
      <c r="B54" s="411"/>
      <c r="C54" s="412"/>
      <c r="D54" s="412"/>
      <c r="E54" s="432"/>
      <c r="F54" s="433"/>
    </row>
    <row r="55" spans="1:6" s="64" customFormat="1" ht="29.25" customHeight="1">
      <c r="A55" s="409"/>
      <c r="B55" s="407"/>
      <c r="C55" s="409"/>
      <c r="D55" s="409"/>
      <c r="E55" s="432"/>
      <c r="F55" s="433"/>
    </row>
    <row r="56" spans="1:6" s="64" customFormat="1" ht="29.25" customHeight="1">
      <c r="A56" s="409" t="s">
        <v>1713</v>
      </c>
      <c r="B56" s="407" t="s">
        <v>1714</v>
      </c>
      <c r="C56" s="409"/>
      <c r="D56" s="409"/>
      <c r="E56" s="432"/>
      <c r="F56" s="433"/>
    </row>
    <row r="57" spans="1:6" s="64" customFormat="1" ht="29.25" customHeight="1">
      <c r="A57" s="409" t="s">
        <v>1715</v>
      </c>
      <c r="B57" s="407" t="s">
        <v>1716</v>
      </c>
      <c r="C57" s="409">
        <v>30</v>
      </c>
      <c r="D57" s="409" t="s">
        <v>628</v>
      </c>
      <c r="E57" s="432"/>
      <c r="F57" s="433"/>
    </row>
    <row r="58" spans="1:6" s="64" customFormat="1" ht="29.25" customHeight="1">
      <c r="A58" s="409" t="s">
        <v>1717</v>
      </c>
      <c r="B58" s="407" t="s">
        <v>1704</v>
      </c>
      <c r="C58" s="409">
        <v>2400</v>
      </c>
      <c r="D58" s="409" t="s">
        <v>1705</v>
      </c>
      <c r="E58" s="432"/>
      <c r="F58" s="433"/>
    </row>
    <row r="59" spans="1:6" s="64" customFormat="1" ht="29.25" customHeight="1">
      <c r="A59" s="409" t="s">
        <v>1131</v>
      </c>
      <c r="B59" s="407" t="s">
        <v>1718</v>
      </c>
      <c r="C59" s="409">
        <v>3</v>
      </c>
      <c r="D59" s="409" t="s">
        <v>628</v>
      </c>
      <c r="E59" s="432"/>
      <c r="F59" s="433"/>
    </row>
    <row r="60" spans="1:6" s="64" customFormat="1" ht="29.25" customHeight="1">
      <c r="A60" s="409" t="s">
        <v>1132</v>
      </c>
      <c r="B60" s="407" t="s">
        <v>1719</v>
      </c>
      <c r="C60" s="409">
        <v>5</v>
      </c>
      <c r="D60" s="409" t="s">
        <v>1443</v>
      </c>
      <c r="E60" s="432"/>
      <c r="F60" s="433"/>
    </row>
    <row r="61" spans="1:6" s="64" customFormat="1" ht="29.25" customHeight="1">
      <c r="A61" s="409" t="s">
        <v>1133</v>
      </c>
      <c r="B61" s="407" t="s">
        <v>1720</v>
      </c>
      <c r="C61" s="409">
        <v>2</v>
      </c>
      <c r="D61" s="409" t="s">
        <v>1443</v>
      </c>
      <c r="E61" s="432"/>
      <c r="F61" s="433"/>
    </row>
    <row r="62" spans="1:6" s="64" customFormat="1" ht="29.25" customHeight="1">
      <c r="A62" s="409"/>
      <c r="B62" s="407"/>
      <c r="C62" s="409"/>
      <c r="D62" s="409"/>
      <c r="E62" s="432"/>
      <c r="F62" s="433"/>
    </row>
    <row r="63" spans="1:6" s="64" customFormat="1" ht="29.25" customHeight="1">
      <c r="A63" s="409" t="s">
        <v>1721</v>
      </c>
      <c r="B63" s="407" t="s">
        <v>1722</v>
      </c>
      <c r="C63" s="409"/>
      <c r="D63" s="409"/>
      <c r="E63" s="432"/>
      <c r="F63" s="433"/>
    </row>
    <row r="64" spans="1:6" s="64" customFormat="1" ht="29.25" customHeight="1">
      <c r="A64" s="409" t="s">
        <v>1723</v>
      </c>
      <c r="B64" s="407" t="s">
        <v>1724</v>
      </c>
      <c r="C64" s="409">
        <v>6</v>
      </c>
      <c r="D64" s="409" t="s">
        <v>628</v>
      </c>
      <c r="E64" s="432"/>
      <c r="F64" s="433"/>
    </row>
    <row r="65" spans="1:6" s="64" customFormat="1" ht="29.25" customHeight="1">
      <c r="A65" s="409" t="s">
        <v>1134</v>
      </c>
      <c r="B65" s="407" t="s">
        <v>1725</v>
      </c>
      <c r="C65" s="409">
        <v>19</v>
      </c>
      <c r="D65" s="409" t="s">
        <v>628</v>
      </c>
      <c r="E65" s="432"/>
      <c r="F65" s="433"/>
    </row>
    <row r="66" spans="1:6" s="64" customFormat="1" ht="29.25" customHeight="1">
      <c r="A66" s="409" t="s">
        <v>1135</v>
      </c>
      <c r="B66" s="407" t="s">
        <v>1726</v>
      </c>
      <c r="C66" s="409">
        <v>25</v>
      </c>
      <c r="D66" s="409" t="s">
        <v>628</v>
      </c>
      <c r="E66" s="432"/>
      <c r="F66" s="433"/>
    </row>
    <row r="67" spans="1:6" s="64" customFormat="1" ht="29.25" customHeight="1">
      <c r="A67" s="409" t="s">
        <v>1136</v>
      </c>
      <c r="B67" s="407" t="s">
        <v>1727</v>
      </c>
      <c r="C67" s="409">
        <v>19</v>
      </c>
      <c r="D67" s="409" t="s">
        <v>628</v>
      </c>
      <c r="E67" s="432"/>
      <c r="F67" s="433"/>
    </row>
    <row r="68" spans="1:6" s="64" customFormat="1" ht="29.25" customHeight="1">
      <c r="A68" s="409" t="s">
        <v>1137</v>
      </c>
      <c r="B68" s="407" t="s">
        <v>1728</v>
      </c>
      <c r="C68" s="409">
        <v>6</v>
      </c>
      <c r="D68" s="409" t="s">
        <v>628</v>
      </c>
      <c r="E68" s="432"/>
      <c r="F68" s="433"/>
    </row>
    <row r="69" spans="1:6" s="64" customFormat="1" ht="29.25" customHeight="1">
      <c r="A69" s="409" t="s">
        <v>1138</v>
      </c>
      <c r="B69" s="407" t="s">
        <v>1729</v>
      </c>
      <c r="C69" s="409">
        <v>25</v>
      </c>
      <c r="D69" s="409" t="s">
        <v>628</v>
      </c>
      <c r="E69" s="432"/>
      <c r="F69" s="433"/>
    </row>
    <row r="70" spans="1:6" s="64" customFormat="1" ht="29.25" customHeight="1">
      <c r="A70" s="409" t="s">
        <v>1139</v>
      </c>
      <c r="B70" s="407" t="s">
        <v>1704</v>
      </c>
      <c r="C70" s="409">
        <v>2600</v>
      </c>
      <c r="D70" s="409" t="s">
        <v>1705</v>
      </c>
      <c r="E70" s="432"/>
      <c r="F70" s="433"/>
    </row>
    <row r="71" spans="1:6" s="64" customFormat="1" ht="29.25" customHeight="1">
      <c r="A71" s="409" t="s">
        <v>1140</v>
      </c>
      <c r="B71" s="407" t="s">
        <v>1730</v>
      </c>
      <c r="C71" s="409">
        <v>2000</v>
      </c>
      <c r="D71" s="409" t="s">
        <v>1705</v>
      </c>
      <c r="E71" s="432"/>
      <c r="F71" s="433"/>
    </row>
    <row r="72" spans="1:6" s="64" customFormat="1" ht="29.25" customHeight="1">
      <c r="A72" s="409"/>
      <c r="B72" s="407"/>
      <c r="C72" s="409"/>
      <c r="D72" s="409"/>
      <c r="E72" s="432"/>
      <c r="F72" s="433"/>
    </row>
    <row r="73" spans="1:6" s="64" customFormat="1" ht="29.25" customHeight="1">
      <c r="A73" s="409" t="s">
        <v>1731</v>
      </c>
      <c r="B73" s="407" t="s">
        <v>1732</v>
      </c>
      <c r="C73" s="409"/>
      <c r="D73" s="409"/>
      <c r="E73" s="432"/>
      <c r="F73" s="433"/>
    </row>
    <row r="74" spans="1:6" s="64" customFormat="1" ht="29.25" customHeight="1">
      <c r="A74" s="409" t="s">
        <v>1822</v>
      </c>
      <c r="B74" s="407" t="s">
        <v>1737</v>
      </c>
      <c r="C74" s="409"/>
      <c r="D74" s="409"/>
      <c r="E74" s="432"/>
      <c r="F74" s="433"/>
    </row>
    <row r="75" spans="1:6" s="64" customFormat="1" ht="29.25" customHeight="1">
      <c r="A75" s="409" t="s">
        <v>1823</v>
      </c>
      <c r="B75" s="407" t="s">
        <v>1733</v>
      </c>
      <c r="C75" s="409"/>
      <c r="D75" s="409"/>
      <c r="E75" s="432"/>
      <c r="F75" s="433"/>
    </row>
    <row r="76" spans="1:6" s="64" customFormat="1" ht="29.25" customHeight="1">
      <c r="A76" s="409"/>
      <c r="B76" s="407" t="s">
        <v>1738</v>
      </c>
      <c r="C76" s="409">
        <v>1</v>
      </c>
      <c r="D76" s="409" t="s">
        <v>1734</v>
      </c>
      <c r="E76" s="432"/>
      <c r="F76" s="433"/>
    </row>
    <row r="77" spans="1:6" s="64" customFormat="1" ht="29.25" customHeight="1">
      <c r="A77" s="409" t="s">
        <v>1824</v>
      </c>
      <c r="B77" s="407" t="s">
        <v>1739</v>
      </c>
      <c r="C77" s="409"/>
      <c r="D77" s="409"/>
      <c r="E77" s="432"/>
      <c r="F77" s="433"/>
    </row>
    <row r="78" spans="1:6" s="64" customFormat="1" ht="29.25" customHeight="1">
      <c r="A78" s="409"/>
      <c r="B78" s="407" t="s">
        <v>1740</v>
      </c>
      <c r="C78" s="409">
        <v>1</v>
      </c>
      <c r="D78" s="409" t="s">
        <v>1015</v>
      </c>
      <c r="E78" s="432"/>
      <c r="F78" s="433"/>
    </row>
    <row r="79" spans="1:6" s="64" customFormat="1" ht="29.25" customHeight="1">
      <c r="A79" s="409"/>
      <c r="B79" s="407" t="s">
        <v>1741</v>
      </c>
      <c r="C79" s="409">
        <v>1</v>
      </c>
      <c r="D79" s="409" t="s">
        <v>1025</v>
      </c>
      <c r="E79" s="432"/>
      <c r="F79" s="433"/>
    </row>
    <row r="80" spans="1:6" s="64" customFormat="1" ht="29.25" customHeight="1">
      <c r="A80" s="409"/>
      <c r="B80" s="407" t="s">
        <v>1742</v>
      </c>
      <c r="C80" s="409">
        <v>1</v>
      </c>
      <c r="D80" s="409" t="s">
        <v>1025</v>
      </c>
      <c r="E80" s="432"/>
      <c r="F80" s="433"/>
    </row>
    <row r="81" spans="1:6" s="64" customFormat="1" ht="29.25" customHeight="1">
      <c r="A81" s="409"/>
      <c r="B81" s="407" t="s">
        <v>1743</v>
      </c>
      <c r="C81" s="409">
        <v>1</v>
      </c>
      <c r="D81" s="409" t="s">
        <v>1025</v>
      </c>
      <c r="E81" s="432"/>
      <c r="F81" s="433"/>
    </row>
    <row r="82" spans="1:6" s="64" customFormat="1" ht="29.25" customHeight="1">
      <c r="A82" s="409"/>
      <c r="B82" s="407" t="s">
        <v>1744</v>
      </c>
      <c r="C82" s="409">
        <v>4</v>
      </c>
      <c r="D82" s="409" t="s">
        <v>1039</v>
      </c>
      <c r="E82" s="432"/>
      <c r="F82" s="433"/>
    </row>
    <row r="83" spans="1:6" s="64" customFormat="1" ht="29.25" customHeight="1">
      <c r="A83" s="409"/>
      <c r="B83" s="407" t="s">
        <v>1745</v>
      </c>
      <c r="C83" s="409">
        <v>4</v>
      </c>
      <c r="D83" s="409" t="s">
        <v>1015</v>
      </c>
      <c r="E83" s="432"/>
      <c r="F83" s="433"/>
    </row>
    <row r="84" spans="1:6" s="64" customFormat="1" ht="29.25" customHeight="1">
      <c r="A84" s="409"/>
      <c r="B84" s="407" t="s">
        <v>1746</v>
      </c>
      <c r="C84" s="409">
        <v>1</v>
      </c>
      <c r="D84" s="409" t="s">
        <v>1443</v>
      </c>
      <c r="E84" s="432"/>
      <c r="F84" s="433"/>
    </row>
    <row r="85" spans="1:6" s="64" customFormat="1" ht="29.25" customHeight="1">
      <c r="A85" s="409"/>
      <c r="B85" s="407" t="s">
        <v>1747</v>
      </c>
      <c r="C85" s="409">
        <v>1</v>
      </c>
      <c r="D85" s="409" t="s">
        <v>1025</v>
      </c>
      <c r="E85" s="432"/>
      <c r="F85" s="433"/>
    </row>
    <row r="86" spans="1:6" s="64" customFormat="1" ht="29.25" customHeight="1">
      <c r="A86" s="409" t="s">
        <v>1825</v>
      </c>
      <c r="B86" s="407" t="s">
        <v>1748</v>
      </c>
      <c r="C86" s="409"/>
      <c r="D86" s="409"/>
      <c r="E86" s="432"/>
      <c r="F86" s="433"/>
    </row>
    <row r="87" spans="1:6" s="64" customFormat="1" ht="29.25" customHeight="1">
      <c r="A87" s="409"/>
      <c r="B87" s="407" t="s">
        <v>1749</v>
      </c>
      <c r="C87" s="409">
        <v>1</v>
      </c>
      <c r="D87" s="409" t="s">
        <v>1025</v>
      </c>
      <c r="E87" s="432"/>
      <c r="F87" s="433"/>
    </row>
    <row r="88" spans="1:6" s="64" customFormat="1" ht="29.25" customHeight="1">
      <c r="A88" s="409"/>
      <c r="B88" s="407" t="s">
        <v>1750</v>
      </c>
      <c r="C88" s="409">
        <v>1</v>
      </c>
      <c r="D88" s="409" t="s">
        <v>1025</v>
      </c>
      <c r="E88" s="432"/>
      <c r="F88" s="433"/>
    </row>
    <row r="89" spans="1:6" s="64" customFormat="1" ht="29.25" customHeight="1">
      <c r="A89" s="409"/>
      <c r="B89" s="407" t="s">
        <v>1751</v>
      </c>
      <c r="C89" s="409">
        <v>1</v>
      </c>
      <c r="D89" s="409" t="s">
        <v>1025</v>
      </c>
      <c r="E89" s="432"/>
      <c r="F89" s="433"/>
    </row>
    <row r="90" spans="1:6" s="64" customFormat="1" ht="29.25" customHeight="1">
      <c r="A90" s="409"/>
      <c r="B90" s="407" t="s">
        <v>1752</v>
      </c>
      <c r="C90" s="409">
        <v>13</v>
      </c>
      <c r="D90" s="409" t="s">
        <v>1025</v>
      </c>
      <c r="E90" s="432"/>
      <c r="F90" s="433"/>
    </row>
    <row r="91" spans="1:6" s="64" customFormat="1" ht="29.25" customHeight="1">
      <c r="A91" s="409"/>
      <c r="B91" s="407" t="s">
        <v>1753</v>
      </c>
      <c r="C91" s="409">
        <v>1</v>
      </c>
      <c r="D91" s="409" t="s">
        <v>1025</v>
      </c>
      <c r="E91" s="432"/>
      <c r="F91" s="433"/>
    </row>
    <row r="92" spans="1:6" s="64" customFormat="1" ht="29.25" customHeight="1">
      <c r="A92" s="409"/>
      <c r="B92" s="407" t="s">
        <v>1754</v>
      </c>
      <c r="C92" s="409">
        <v>2</v>
      </c>
      <c r="D92" s="409" t="s">
        <v>1025</v>
      </c>
      <c r="E92" s="432"/>
      <c r="F92" s="433"/>
    </row>
    <row r="93" spans="1:6" s="64" customFormat="1" ht="29.25" customHeight="1">
      <c r="A93" s="409"/>
      <c r="B93" s="407" t="s">
        <v>1755</v>
      </c>
      <c r="C93" s="409">
        <v>1</v>
      </c>
      <c r="D93" s="409" t="s">
        <v>1025</v>
      </c>
      <c r="E93" s="432"/>
      <c r="F93" s="433"/>
    </row>
    <row r="94" spans="1:6" s="64" customFormat="1" ht="29.25" customHeight="1">
      <c r="A94" s="409"/>
      <c r="B94" s="407" t="s">
        <v>1756</v>
      </c>
      <c r="C94" s="409">
        <v>5</v>
      </c>
      <c r="D94" s="409" t="s">
        <v>1757</v>
      </c>
      <c r="E94" s="432"/>
      <c r="F94" s="433"/>
    </row>
    <row r="95" spans="1:6" s="64" customFormat="1" ht="29.25" customHeight="1">
      <c r="A95" s="409" t="s">
        <v>1826</v>
      </c>
      <c r="B95" s="407" t="s">
        <v>1758</v>
      </c>
      <c r="C95" s="409"/>
      <c r="D95" s="409"/>
      <c r="E95" s="432"/>
      <c r="F95" s="433"/>
    </row>
    <row r="96" spans="1:6" s="64" customFormat="1" ht="29.25" customHeight="1">
      <c r="A96" s="409"/>
      <c r="B96" s="407" t="s">
        <v>1759</v>
      </c>
      <c r="C96" s="409">
        <v>1</v>
      </c>
      <c r="D96" s="409" t="s">
        <v>1025</v>
      </c>
      <c r="E96" s="432"/>
      <c r="F96" s="433"/>
    </row>
    <row r="97" spans="1:6" s="64" customFormat="1" ht="29.25" customHeight="1">
      <c r="A97" s="409"/>
      <c r="B97" s="407" t="s">
        <v>1760</v>
      </c>
      <c r="C97" s="409">
        <v>1</v>
      </c>
      <c r="D97" s="409" t="s">
        <v>1025</v>
      </c>
      <c r="E97" s="432"/>
      <c r="F97" s="433"/>
    </row>
    <row r="98" spans="1:6" s="64" customFormat="1" ht="29.25" customHeight="1">
      <c r="A98" s="409"/>
      <c r="B98" s="407" t="s">
        <v>1761</v>
      </c>
      <c r="C98" s="409">
        <v>1</v>
      </c>
      <c r="D98" s="409" t="s">
        <v>1025</v>
      </c>
      <c r="E98" s="432"/>
      <c r="F98" s="433"/>
    </row>
    <row r="99" spans="1:6" s="64" customFormat="1" ht="29.25" customHeight="1">
      <c r="A99" s="409"/>
      <c r="B99" s="407" t="s">
        <v>1762</v>
      </c>
      <c r="C99" s="409">
        <v>1</v>
      </c>
      <c r="D99" s="409" t="s">
        <v>1025</v>
      </c>
      <c r="E99" s="432"/>
      <c r="F99" s="433"/>
    </row>
    <row r="100" spans="1:6" s="64" customFormat="1" ht="29.25" customHeight="1">
      <c r="A100" s="409" t="s">
        <v>1827</v>
      </c>
      <c r="B100" s="407" t="s">
        <v>1763</v>
      </c>
      <c r="C100" s="409"/>
      <c r="D100" s="409"/>
      <c r="E100" s="432"/>
      <c r="F100" s="433"/>
    </row>
    <row r="101" spans="1:6" s="64" customFormat="1" ht="29.25" customHeight="1">
      <c r="A101" s="409"/>
      <c r="B101" s="407" t="s">
        <v>1764</v>
      </c>
      <c r="C101" s="409">
        <v>1</v>
      </c>
      <c r="D101" s="409" t="s">
        <v>1025</v>
      </c>
      <c r="E101" s="432"/>
      <c r="F101" s="433"/>
    </row>
    <row r="102" spans="1:6" s="64" customFormat="1" ht="29.25" customHeight="1">
      <c r="A102" s="409"/>
      <c r="B102" s="407" t="s">
        <v>1765</v>
      </c>
      <c r="C102" s="409">
        <v>3</v>
      </c>
      <c r="D102" s="409" t="s">
        <v>1025</v>
      </c>
      <c r="E102" s="432"/>
      <c r="F102" s="433"/>
    </row>
    <row r="103" spans="1:6" s="64" customFormat="1" ht="29.25" customHeight="1">
      <c r="A103" s="409" t="s">
        <v>1828</v>
      </c>
      <c r="B103" s="407" t="s">
        <v>1735</v>
      </c>
      <c r="C103" s="409"/>
      <c r="D103" s="409"/>
      <c r="E103" s="432"/>
      <c r="F103" s="433"/>
    </row>
    <row r="104" spans="1:6" s="64" customFormat="1" ht="29.25" customHeight="1">
      <c r="A104" s="409"/>
      <c r="B104" s="407" t="s">
        <v>1736</v>
      </c>
      <c r="C104" s="409">
        <v>1</v>
      </c>
      <c r="D104" s="409" t="s">
        <v>1734</v>
      </c>
      <c r="E104" s="432"/>
      <c r="F104" s="433"/>
    </row>
    <row r="105" spans="1:6" s="64" customFormat="1" ht="29.25" customHeight="1">
      <c r="A105" s="409"/>
      <c r="B105" s="407"/>
      <c r="C105" s="409"/>
      <c r="D105" s="409"/>
      <c r="E105" s="432"/>
      <c r="F105" s="433"/>
    </row>
    <row r="106" spans="1:6" s="64" customFormat="1" ht="29.25" customHeight="1">
      <c r="A106" s="409" t="s">
        <v>1829</v>
      </c>
      <c r="B106" s="407" t="s">
        <v>1766</v>
      </c>
      <c r="C106" s="409"/>
      <c r="D106" s="409"/>
      <c r="E106" s="432"/>
      <c r="F106" s="433"/>
    </row>
    <row r="107" spans="1:6" s="64" customFormat="1" ht="29.25" customHeight="1">
      <c r="A107" s="409"/>
      <c r="B107" s="407"/>
      <c r="C107" s="409"/>
      <c r="D107" s="409"/>
      <c r="E107" s="432"/>
      <c r="F107" s="433"/>
    </row>
    <row r="108" spans="1:6" s="64" customFormat="1" ht="29.25" customHeight="1">
      <c r="A108" s="409" t="s">
        <v>1830</v>
      </c>
      <c r="B108" s="407" t="s">
        <v>1733</v>
      </c>
      <c r="C108" s="409"/>
      <c r="D108" s="409"/>
      <c r="E108" s="432"/>
      <c r="F108" s="433"/>
    </row>
    <row r="109" spans="1:6" s="64" customFormat="1" ht="29.25" customHeight="1">
      <c r="A109" s="409"/>
      <c r="B109" s="407" t="s">
        <v>1767</v>
      </c>
      <c r="C109" s="409">
        <v>9.984</v>
      </c>
      <c r="D109" s="409" t="s">
        <v>153</v>
      </c>
      <c r="E109" s="432"/>
      <c r="F109" s="433"/>
    </row>
    <row r="110" spans="1:6" s="64" customFormat="1" ht="29.25" customHeight="1">
      <c r="A110" s="409"/>
      <c r="B110" s="407" t="s">
        <v>1768</v>
      </c>
      <c r="C110" s="409">
        <v>2</v>
      </c>
      <c r="D110" s="409" t="s">
        <v>1025</v>
      </c>
      <c r="E110" s="432"/>
      <c r="F110" s="433"/>
    </row>
    <row r="111" spans="1:6" s="64" customFormat="1" ht="29.25" customHeight="1">
      <c r="A111" s="409" t="s">
        <v>1831</v>
      </c>
      <c r="B111" s="407" t="s">
        <v>1769</v>
      </c>
      <c r="C111" s="409"/>
      <c r="D111" s="409"/>
      <c r="E111" s="432"/>
      <c r="F111" s="433"/>
    </row>
    <row r="112" spans="1:6" s="64" customFormat="1" ht="29.25" customHeight="1">
      <c r="A112" s="409"/>
      <c r="B112" s="407" t="s">
        <v>1770</v>
      </c>
      <c r="C112" s="409">
        <v>1</v>
      </c>
      <c r="D112" s="409" t="s">
        <v>1025</v>
      </c>
      <c r="E112" s="432"/>
      <c r="F112" s="433"/>
    </row>
    <row r="113" spans="1:6" s="64" customFormat="1" ht="29.25" customHeight="1">
      <c r="A113" s="409"/>
      <c r="B113" s="407" t="s">
        <v>1771</v>
      </c>
      <c r="C113" s="409">
        <v>1</v>
      </c>
      <c r="D113" s="409" t="s">
        <v>1015</v>
      </c>
      <c r="E113" s="432"/>
      <c r="F113" s="433"/>
    </row>
    <row r="114" spans="1:6" s="64" customFormat="1" ht="29.25" customHeight="1">
      <c r="A114" s="409"/>
      <c r="B114" s="407" t="s">
        <v>1772</v>
      </c>
      <c r="C114" s="409">
        <v>1</v>
      </c>
      <c r="D114" s="409" t="s">
        <v>1773</v>
      </c>
      <c r="E114" s="432"/>
      <c r="F114" s="433"/>
    </row>
    <row r="115" spans="1:6" s="64" customFormat="1" ht="29.25" customHeight="1">
      <c r="A115" s="409"/>
      <c r="B115" s="407" t="s">
        <v>1774</v>
      </c>
      <c r="C115" s="409">
        <v>2</v>
      </c>
      <c r="D115" s="409" t="s">
        <v>1773</v>
      </c>
      <c r="E115" s="432"/>
      <c r="F115" s="433"/>
    </row>
    <row r="116" spans="1:6" s="64" customFormat="1" ht="29.25" customHeight="1">
      <c r="A116" s="409"/>
      <c r="B116" s="407" t="s">
        <v>1775</v>
      </c>
      <c r="C116" s="409">
        <v>1</v>
      </c>
      <c r="D116" s="409" t="s">
        <v>1773</v>
      </c>
      <c r="E116" s="432"/>
      <c r="F116" s="433"/>
    </row>
    <row r="117" spans="1:6" s="64" customFormat="1" ht="29.25" customHeight="1">
      <c r="A117" s="409"/>
      <c r="B117" s="407" t="s">
        <v>1776</v>
      </c>
      <c r="C117" s="409">
        <v>2</v>
      </c>
      <c r="D117" s="409" t="s">
        <v>1773</v>
      </c>
      <c r="E117" s="432"/>
      <c r="F117" s="433"/>
    </row>
    <row r="118" spans="1:6" s="64" customFormat="1" ht="29.25" customHeight="1">
      <c r="A118" s="409"/>
      <c r="B118" s="407" t="s">
        <v>1777</v>
      </c>
      <c r="C118" s="409">
        <v>1</v>
      </c>
      <c r="D118" s="409" t="s">
        <v>1773</v>
      </c>
      <c r="E118" s="432"/>
      <c r="F118" s="433"/>
    </row>
    <row r="119" spans="1:6" s="64" customFormat="1" ht="29.25" customHeight="1">
      <c r="A119" s="409"/>
      <c r="B119" s="407" t="s">
        <v>1778</v>
      </c>
      <c r="C119" s="409">
        <v>1</v>
      </c>
      <c r="D119" s="409" t="s">
        <v>1025</v>
      </c>
      <c r="E119" s="432"/>
      <c r="F119" s="433"/>
    </row>
    <row r="120" spans="1:6" s="64" customFormat="1" ht="29.25" customHeight="1">
      <c r="A120" s="409"/>
      <c r="B120" s="407" t="s">
        <v>1779</v>
      </c>
      <c r="C120" s="409">
        <v>1</v>
      </c>
      <c r="D120" s="409" t="s">
        <v>1015</v>
      </c>
      <c r="E120" s="432"/>
      <c r="F120" s="433"/>
    </row>
    <row r="121" spans="1:6" s="64" customFormat="1" ht="29.25" customHeight="1">
      <c r="A121" s="409" t="s">
        <v>1833</v>
      </c>
      <c r="B121" s="407" t="s">
        <v>1739</v>
      </c>
      <c r="C121" s="409"/>
      <c r="D121" s="409"/>
      <c r="E121" s="432"/>
      <c r="F121" s="433"/>
    </row>
    <row r="122" spans="1:6" s="64" customFormat="1" ht="29.25" customHeight="1">
      <c r="A122" s="409"/>
      <c r="B122" s="407" t="s">
        <v>1780</v>
      </c>
      <c r="C122" s="409">
        <v>1</v>
      </c>
      <c r="D122" s="409" t="s">
        <v>1015</v>
      </c>
      <c r="E122" s="432"/>
      <c r="F122" s="433"/>
    </row>
    <row r="123" spans="1:6" s="64" customFormat="1" ht="29.25" customHeight="1">
      <c r="A123" s="409"/>
      <c r="B123" s="407" t="s">
        <v>1780</v>
      </c>
      <c r="C123" s="409">
        <v>1</v>
      </c>
      <c r="D123" s="409" t="s">
        <v>1015</v>
      </c>
      <c r="E123" s="432"/>
      <c r="F123" s="433"/>
    </row>
    <row r="124" spans="1:6" s="64" customFormat="1" ht="29.25" customHeight="1">
      <c r="A124" s="409"/>
      <c r="B124" s="407" t="s">
        <v>1781</v>
      </c>
      <c r="C124" s="409">
        <v>1</v>
      </c>
      <c r="D124" s="409" t="s">
        <v>1025</v>
      </c>
      <c r="E124" s="432"/>
      <c r="F124" s="433"/>
    </row>
    <row r="125" spans="1:6" s="64" customFormat="1" ht="29.25" customHeight="1">
      <c r="A125" s="409"/>
      <c r="B125" s="407" t="s">
        <v>1782</v>
      </c>
      <c r="C125" s="409">
        <v>1</v>
      </c>
      <c r="D125" s="409" t="s">
        <v>1015</v>
      </c>
      <c r="E125" s="432"/>
      <c r="F125" s="433"/>
    </row>
    <row r="126" spans="1:6" s="64" customFormat="1" ht="29.25" customHeight="1">
      <c r="A126" s="409"/>
      <c r="B126" s="407" t="s">
        <v>1783</v>
      </c>
      <c r="C126" s="409">
        <v>1</v>
      </c>
      <c r="D126" s="409" t="s">
        <v>1015</v>
      </c>
      <c r="E126" s="432"/>
      <c r="F126" s="433"/>
    </row>
    <row r="127" spans="1:6" s="64" customFormat="1" ht="29.25" customHeight="1">
      <c r="A127" s="409"/>
      <c r="B127" s="407" t="s">
        <v>1784</v>
      </c>
      <c r="C127" s="409">
        <v>1</v>
      </c>
      <c r="D127" s="409" t="s">
        <v>1015</v>
      </c>
      <c r="E127" s="432"/>
      <c r="F127" s="433"/>
    </row>
    <row r="128" spans="1:6" s="64" customFormat="1" ht="29.25" customHeight="1">
      <c r="A128" s="409"/>
      <c r="B128" s="407" t="s">
        <v>1785</v>
      </c>
      <c r="C128" s="409">
        <v>1</v>
      </c>
      <c r="D128" s="409" t="s">
        <v>1025</v>
      </c>
      <c r="E128" s="432"/>
      <c r="F128" s="433"/>
    </row>
    <row r="129" spans="1:6" s="64" customFormat="1" ht="29.25" customHeight="1">
      <c r="A129" s="409"/>
      <c r="B129" s="407" t="s">
        <v>1746</v>
      </c>
      <c r="C129" s="409">
        <v>1</v>
      </c>
      <c r="D129" s="409" t="s">
        <v>1443</v>
      </c>
      <c r="E129" s="432"/>
      <c r="F129" s="433"/>
    </row>
    <row r="130" spans="1:6" s="64" customFormat="1" ht="29.25" customHeight="1">
      <c r="A130" s="409"/>
      <c r="B130" s="407" t="s">
        <v>1786</v>
      </c>
      <c r="C130" s="409">
        <v>1</v>
      </c>
      <c r="D130" s="409" t="s">
        <v>1025</v>
      </c>
      <c r="E130" s="432"/>
      <c r="F130" s="433"/>
    </row>
    <row r="131" spans="1:6" s="64" customFormat="1" ht="29.25" customHeight="1">
      <c r="A131" s="409"/>
      <c r="B131" s="407" t="s">
        <v>1787</v>
      </c>
      <c r="C131" s="409">
        <v>1</v>
      </c>
      <c r="D131" s="409" t="s">
        <v>1025</v>
      </c>
      <c r="E131" s="432"/>
      <c r="F131" s="433"/>
    </row>
    <row r="132" spans="1:6" s="64" customFormat="1" ht="29.25" customHeight="1">
      <c r="A132" s="409"/>
      <c r="B132" s="407" t="s">
        <v>1788</v>
      </c>
      <c r="C132" s="409">
        <v>1</v>
      </c>
      <c r="D132" s="409" t="s">
        <v>1789</v>
      </c>
      <c r="E132" s="432"/>
      <c r="F132" s="433"/>
    </row>
    <row r="133" spans="1:6" s="64" customFormat="1" ht="29.25" customHeight="1">
      <c r="A133" s="409"/>
      <c r="B133" s="407" t="s">
        <v>1790</v>
      </c>
      <c r="C133" s="409">
        <v>2</v>
      </c>
      <c r="D133" s="409" t="s">
        <v>1039</v>
      </c>
      <c r="E133" s="432"/>
      <c r="F133" s="433"/>
    </row>
    <row r="134" spans="1:6" s="64" customFormat="1" ht="29.25" customHeight="1">
      <c r="A134" s="409"/>
      <c r="B134" s="407" t="s">
        <v>1791</v>
      </c>
      <c r="C134" s="409">
        <v>2</v>
      </c>
      <c r="D134" s="409" t="s">
        <v>1039</v>
      </c>
      <c r="E134" s="432"/>
      <c r="F134" s="433"/>
    </row>
    <row r="135" spans="1:6" s="64" customFormat="1" ht="29.25" customHeight="1">
      <c r="A135" s="409"/>
      <c r="B135" s="407" t="s">
        <v>1792</v>
      </c>
      <c r="C135" s="409">
        <v>1</v>
      </c>
      <c r="D135" s="409" t="s">
        <v>1025</v>
      </c>
      <c r="E135" s="432"/>
      <c r="F135" s="433"/>
    </row>
    <row r="136" spans="1:6" s="64" customFormat="1" ht="29.25" customHeight="1">
      <c r="A136" s="409"/>
      <c r="B136" s="407" t="s">
        <v>1793</v>
      </c>
      <c r="C136" s="409">
        <v>4</v>
      </c>
      <c r="D136" s="409" t="s">
        <v>1039</v>
      </c>
      <c r="E136" s="432"/>
      <c r="F136" s="433"/>
    </row>
    <row r="137" spans="1:6" s="64" customFormat="1" ht="29.25" customHeight="1">
      <c r="A137" s="409"/>
      <c r="B137" s="407" t="s">
        <v>1791</v>
      </c>
      <c r="C137" s="409">
        <v>4</v>
      </c>
      <c r="D137" s="409" t="s">
        <v>1039</v>
      </c>
      <c r="E137" s="432"/>
      <c r="F137" s="433"/>
    </row>
    <row r="138" spans="1:6" s="64" customFormat="1" ht="29.25" customHeight="1">
      <c r="A138" s="409"/>
      <c r="B138" s="407" t="s">
        <v>1794</v>
      </c>
      <c r="C138" s="409">
        <v>1</v>
      </c>
      <c r="D138" s="409" t="s">
        <v>1025</v>
      </c>
      <c r="E138" s="432"/>
      <c r="F138" s="433"/>
    </row>
    <row r="139" spans="1:6" s="64" customFormat="1" ht="29.25" customHeight="1">
      <c r="A139" s="409" t="s">
        <v>1834</v>
      </c>
      <c r="B139" s="407" t="s">
        <v>1795</v>
      </c>
      <c r="C139" s="409"/>
      <c r="D139" s="409"/>
      <c r="E139" s="432"/>
      <c r="F139" s="433"/>
    </row>
    <row r="140" spans="1:6" s="64" customFormat="1" ht="29.25" customHeight="1">
      <c r="A140" s="409"/>
      <c r="B140" s="407" t="s">
        <v>1759</v>
      </c>
      <c r="C140" s="413">
        <v>1</v>
      </c>
      <c r="D140" s="413" t="s">
        <v>1025</v>
      </c>
      <c r="E140" s="432"/>
      <c r="F140" s="433"/>
    </row>
    <row r="141" spans="1:6" s="64" customFormat="1" ht="29.25" customHeight="1">
      <c r="A141" s="409"/>
      <c r="B141" s="414" t="s">
        <v>1796</v>
      </c>
      <c r="C141" s="413">
        <v>1</v>
      </c>
      <c r="D141" s="413" t="s">
        <v>1025</v>
      </c>
      <c r="E141" s="432"/>
      <c r="F141" s="433"/>
    </row>
    <row r="142" spans="1:6" s="64" customFormat="1" ht="29.25" customHeight="1">
      <c r="A142" s="409"/>
      <c r="B142" s="407" t="s">
        <v>1760</v>
      </c>
      <c r="C142" s="413">
        <v>1</v>
      </c>
      <c r="D142" s="413" t="s">
        <v>1025</v>
      </c>
      <c r="E142" s="432"/>
      <c r="F142" s="433"/>
    </row>
    <row r="143" spans="1:6" s="64" customFormat="1" ht="29.25" customHeight="1">
      <c r="A143" s="409"/>
      <c r="B143" s="407" t="s">
        <v>1797</v>
      </c>
      <c r="C143" s="413">
        <v>1</v>
      </c>
      <c r="D143" s="413" t="s">
        <v>1025</v>
      </c>
      <c r="E143" s="432"/>
      <c r="F143" s="433"/>
    </row>
    <row r="144" spans="1:6" s="64" customFormat="1" ht="29.25" customHeight="1">
      <c r="A144" s="409"/>
      <c r="B144" s="407" t="s">
        <v>1798</v>
      </c>
      <c r="C144" s="413">
        <v>1</v>
      </c>
      <c r="D144" s="413" t="s">
        <v>1025</v>
      </c>
      <c r="E144" s="432"/>
      <c r="F144" s="433"/>
    </row>
    <row r="145" spans="1:6" s="64" customFormat="1" ht="29.25" customHeight="1">
      <c r="A145" s="409" t="s">
        <v>1835</v>
      </c>
      <c r="B145" s="407" t="s">
        <v>1799</v>
      </c>
      <c r="C145" s="409"/>
      <c r="D145" s="409"/>
      <c r="E145" s="432"/>
      <c r="F145" s="433"/>
    </row>
    <row r="146" spans="1:6" s="64" customFormat="1" ht="29.25" customHeight="1">
      <c r="A146" s="409"/>
      <c r="B146" s="407" t="s">
        <v>1800</v>
      </c>
      <c r="C146" s="409">
        <v>1</v>
      </c>
      <c r="D146" s="409" t="s">
        <v>1025</v>
      </c>
      <c r="E146" s="432"/>
      <c r="F146" s="433"/>
    </row>
    <row r="147" spans="1:6" s="64" customFormat="1" ht="29.25" customHeight="1">
      <c r="A147" s="409"/>
      <c r="B147" s="407" t="s">
        <v>1801</v>
      </c>
      <c r="C147" s="409">
        <v>3</v>
      </c>
      <c r="D147" s="409" t="s">
        <v>1025</v>
      </c>
      <c r="E147" s="432"/>
      <c r="F147" s="433"/>
    </row>
    <row r="148" spans="1:6" s="64" customFormat="1" ht="29.25" customHeight="1">
      <c r="A148" s="409" t="s">
        <v>1836</v>
      </c>
      <c r="B148" s="407" t="s">
        <v>1802</v>
      </c>
      <c r="C148" s="409"/>
      <c r="D148" s="409"/>
      <c r="E148" s="432"/>
      <c r="F148" s="433"/>
    </row>
    <row r="149" spans="1:6" s="64" customFormat="1" ht="29.25" customHeight="1">
      <c r="A149" s="409"/>
      <c r="B149" s="407" t="s">
        <v>1803</v>
      </c>
      <c r="C149" s="409">
        <v>1</v>
      </c>
      <c r="D149" s="409" t="s">
        <v>1025</v>
      </c>
      <c r="E149" s="432"/>
      <c r="F149" s="433"/>
    </row>
    <row r="150" spans="1:6" s="64" customFormat="1" ht="29.25" customHeight="1">
      <c r="A150" s="409" t="s">
        <v>1837</v>
      </c>
      <c r="B150" s="407" t="s">
        <v>1735</v>
      </c>
      <c r="C150" s="409"/>
      <c r="D150" s="409"/>
      <c r="E150" s="432"/>
      <c r="F150" s="433"/>
    </row>
    <row r="151" spans="1:6" s="64" customFormat="1" ht="29.25" customHeight="1">
      <c r="A151" s="409"/>
      <c r="B151" s="407" t="s">
        <v>1736</v>
      </c>
      <c r="C151" s="409">
        <v>1</v>
      </c>
      <c r="D151" s="409" t="s">
        <v>1734</v>
      </c>
      <c r="E151" s="432"/>
      <c r="F151" s="433"/>
    </row>
    <row r="152" spans="1:6" s="64" customFormat="1" ht="29.25" customHeight="1">
      <c r="A152" s="409"/>
      <c r="B152" s="407"/>
      <c r="C152" s="409"/>
      <c r="D152" s="409"/>
      <c r="E152" s="432"/>
      <c r="F152" s="433"/>
    </row>
    <row r="153" spans="1:6" s="64" customFormat="1" ht="29.25" customHeight="1">
      <c r="A153" s="409" t="s">
        <v>1838</v>
      </c>
      <c r="B153" s="407" t="s">
        <v>1804</v>
      </c>
      <c r="C153" s="409"/>
      <c r="D153" s="409"/>
      <c r="E153" s="432"/>
      <c r="F153" s="433"/>
    </row>
    <row r="154" spans="1:6" s="64" customFormat="1" ht="29.25" customHeight="1">
      <c r="A154" s="409" t="s">
        <v>1839</v>
      </c>
      <c r="B154" s="407" t="s">
        <v>1733</v>
      </c>
      <c r="C154" s="409"/>
      <c r="D154" s="409"/>
      <c r="E154" s="432"/>
      <c r="F154" s="433"/>
    </row>
    <row r="155" spans="1:6" s="64" customFormat="1" ht="29.25" customHeight="1">
      <c r="A155" s="409"/>
      <c r="B155" s="407" t="s">
        <v>1805</v>
      </c>
      <c r="C155" s="409">
        <v>1</v>
      </c>
      <c r="D155" s="409" t="s">
        <v>1734</v>
      </c>
      <c r="E155" s="432"/>
      <c r="F155" s="433"/>
    </row>
    <row r="156" spans="1:6" s="64" customFormat="1" ht="29.25" customHeight="1">
      <c r="A156" s="409" t="s">
        <v>1840</v>
      </c>
      <c r="B156" s="407" t="s">
        <v>1739</v>
      </c>
      <c r="C156" s="409"/>
      <c r="D156" s="409"/>
      <c r="E156" s="432"/>
      <c r="F156" s="433"/>
    </row>
    <row r="157" spans="1:6" s="64" customFormat="1" ht="29.25" customHeight="1">
      <c r="A157" s="409"/>
      <c r="B157" s="407" t="s">
        <v>1740</v>
      </c>
      <c r="C157" s="409">
        <v>2</v>
      </c>
      <c r="D157" s="409" t="s">
        <v>1015</v>
      </c>
      <c r="E157" s="432"/>
      <c r="F157" s="433"/>
    </row>
    <row r="158" spans="1:6" s="64" customFormat="1" ht="29.25" customHeight="1">
      <c r="A158" s="409"/>
      <c r="B158" s="407" t="s">
        <v>1806</v>
      </c>
      <c r="C158" s="409">
        <v>1</v>
      </c>
      <c r="D158" s="409" t="s">
        <v>1015</v>
      </c>
      <c r="E158" s="432"/>
      <c r="F158" s="433"/>
    </row>
    <row r="159" spans="1:6" s="64" customFormat="1" ht="29.25" customHeight="1">
      <c r="A159" s="409"/>
      <c r="B159" s="407" t="s">
        <v>1784</v>
      </c>
      <c r="C159" s="409">
        <v>1</v>
      </c>
      <c r="D159" s="409" t="s">
        <v>1015</v>
      </c>
      <c r="E159" s="432"/>
      <c r="F159" s="433"/>
    </row>
    <row r="160" spans="1:6" s="64" customFormat="1" ht="29.25" customHeight="1">
      <c r="A160" s="409"/>
      <c r="B160" s="407" t="s">
        <v>1741</v>
      </c>
      <c r="C160" s="409">
        <v>1</v>
      </c>
      <c r="D160" s="409" t="s">
        <v>1025</v>
      </c>
      <c r="E160" s="432"/>
      <c r="F160" s="433"/>
    </row>
    <row r="161" spans="1:6" s="64" customFormat="1" ht="29.25" customHeight="1">
      <c r="A161" s="409"/>
      <c r="B161" s="407" t="s">
        <v>1807</v>
      </c>
      <c r="C161" s="409">
        <v>1</v>
      </c>
      <c r="D161" s="409" t="s">
        <v>1025</v>
      </c>
      <c r="E161" s="432"/>
      <c r="F161" s="433"/>
    </row>
    <row r="162" spans="1:6" s="64" customFormat="1" ht="29.25" customHeight="1">
      <c r="A162" s="409"/>
      <c r="B162" s="407" t="s">
        <v>1743</v>
      </c>
      <c r="C162" s="409">
        <v>1</v>
      </c>
      <c r="D162" s="409" t="s">
        <v>1025</v>
      </c>
      <c r="E162" s="432"/>
      <c r="F162" s="433"/>
    </row>
    <row r="163" spans="1:6" s="64" customFormat="1" ht="29.25" customHeight="1">
      <c r="A163" s="409"/>
      <c r="B163" s="407" t="s">
        <v>1808</v>
      </c>
      <c r="C163" s="409">
        <v>4</v>
      </c>
      <c r="D163" s="409" t="s">
        <v>1039</v>
      </c>
      <c r="E163" s="432"/>
      <c r="F163" s="433"/>
    </row>
    <row r="164" spans="1:6" s="64" customFormat="1" ht="29.25" customHeight="1">
      <c r="A164" s="409"/>
      <c r="B164" s="407" t="s">
        <v>1809</v>
      </c>
      <c r="C164" s="409">
        <v>4</v>
      </c>
      <c r="D164" s="409" t="s">
        <v>1039</v>
      </c>
      <c r="E164" s="432"/>
      <c r="F164" s="433"/>
    </row>
    <row r="165" spans="1:6" s="64" customFormat="1" ht="29.25" customHeight="1">
      <c r="A165" s="409"/>
      <c r="B165" s="407" t="s">
        <v>1746</v>
      </c>
      <c r="C165" s="409">
        <v>1</v>
      </c>
      <c r="D165" s="409" t="s">
        <v>1443</v>
      </c>
      <c r="E165" s="432"/>
      <c r="F165" s="433"/>
    </row>
    <row r="166" spans="1:6" s="64" customFormat="1" ht="29.25" customHeight="1">
      <c r="A166" s="409"/>
      <c r="B166" s="407" t="s">
        <v>1841</v>
      </c>
      <c r="C166" s="409">
        <v>1</v>
      </c>
      <c r="D166" s="409" t="s">
        <v>1025</v>
      </c>
      <c r="E166" s="432"/>
      <c r="F166" s="433"/>
    </row>
    <row r="167" spans="1:6" s="64" customFormat="1" ht="29.25" customHeight="1">
      <c r="A167" s="409" t="s">
        <v>1832</v>
      </c>
      <c r="B167" s="407" t="s">
        <v>1842</v>
      </c>
      <c r="C167" s="409"/>
      <c r="D167" s="409"/>
      <c r="E167" s="432"/>
      <c r="F167" s="433"/>
    </row>
    <row r="168" spans="1:6" s="64" customFormat="1" ht="29.25" customHeight="1">
      <c r="A168" s="409"/>
      <c r="B168" s="407" t="s">
        <v>1749</v>
      </c>
      <c r="C168" s="409">
        <v>1</v>
      </c>
      <c r="D168" s="409" t="s">
        <v>1025</v>
      </c>
      <c r="E168" s="432"/>
      <c r="F168" s="433"/>
    </row>
    <row r="169" spans="1:6" s="64" customFormat="1" ht="29.25" customHeight="1">
      <c r="A169" s="409"/>
      <c r="B169" s="407" t="s">
        <v>1750</v>
      </c>
      <c r="C169" s="409">
        <v>1</v>
      </c>
      <c r="D169" s="409" t="s">
        <v>1025</v>
      </c>
      <c r="E169" s="432"/>
      <c r="F169" s="433"/>
    </row>
    <row r="170" spans="1:6" s="64" customFormat="1" ht="29.25" customHeight="1">
      <c r="A170" s="409"/>
      <c r="B170" s="407" t="s">
        <v>1751</v>
      </c>
      <c r="C170" s="409">
        <v>1</v>
      </c>
      <c r="D170" s="409" t="s">
        <v>1025</v>
      </c>
      <c r="E170" s="432"/>
      <c r="F170" s="433"/>
    </row>
    <row r="171" spans="1:6" s="64" customFormat="1" ht="29.25" customHeight="1">
      <c r="A171" s="409"/>
      <c r="B171" s="407" t="s">
        <v>1752</v>
      </c>
      <c r="C171" s="409">
        <v>15</v>
      </c>
      <c r="D171" s="409" t="s">
        <v>1025</v>
      </c>
      <c r="E171" s="432"/>
      <c r="F171" s="433"/>
    </row>
    <row r="172" spans="1:6" s="64" customFormat="1" ht="29.25" customHeight="1">
      <c r="A172" s="409"/>
      <c r="B172" s="407" t="s">
        <v>1753</v>
      </c>
      <c r="C172" s="409">
        <v>1</v>
      </c>
      <c r="D172" s="409" t="s">
        <v>1025</v>
      </c>
      <c r="E172" s="432"/>
      <c r="F172" s="433"/>
    </row>
    <row r="173" spans="1:6" s="64" customFormat="1" ht="29.25" customHeight="1">
      <c r="A173" s="409"/>
      <c r="B173" s="407" t="s">
        <v>1754</v>
      </c>
      <c r="C173" s="409">
        <v>2</v>
      </c>
      <c r="D173" s="409" t="s">
        <v>1025</v>
      </c>
      <c r="E173" s="432"/>
      <c r="F173" s="433"/>
    </row>
    <row r="174" spans="1:6" s="64" customFormat="1" ht="29.25" customHeight="1">
      <c r="A174" s="409"/>
      <c r="B174" s="407" t="s">
        <v>1755</v>
      </c>
      <c r="C174" s="409">
        <v>1</v>
      </c>
      <c r="D174" s="409" t="s">
        <v>1025</v>
      </c>
      <c r="E174" s="432"/>
      <c r="F174" s="433"/>
    </row>
    <row r="175" spans="1:6" s="64" customFormat="1" ht="29.25" customHeight="1">
      <c r="A175" s="409"/>
      <c r="B175" s="407" t="s">
        <v>1756</v>
      </c>
      <c r="C175" s="409">
        <v>5</v>
      </c>
      <c r="D175" s="409" t="s">
        <v>1757</v>
      </c>
      <c r="E175" s="432"/>
      <c r="F175" s="433"/>
    </row>
    <row r="176" spans="1:6" s="64" customFormat="1" ht="29.25" customHeight="1">
      <c r="A176" s="409" t="s">
        <v>1843</v>
      </c>
      <c r="B176" s="407" t="s">
        <v>1758</v>
      </c>
      <c r="C176" s="409"/>
      <c r="D176" s="409"/>
      <c r="E176" s="432"/>
      <c r="F176" s="433"/>
    </row>
    <row r="177" spans="1:6" s="64" customFormat="1" ht="29.25" customHeight="1">
      <c r="A177" s="409"/>
      <c r="B177" s="407" t="s">
        <v>1759</v>
      </c>
      <c r="C177" s="409">
        <v>1</v>
      </c>
      <c r="D177" s="409" t="s">
        <v>1025</v>
      </c>
      <c r="E177" s="432"/>
      <c r="F177" s="433"/>
    </row>
    <row r="178" spans="1:6" s="64" customFormat="1" ht="29.25" customHeight="1">
      <c r="A178" s="409"/>
      <c r="B178" s="407" t="s">
        <v>1760</v>
      </c>
      <c r="C178" s="409">
        <v>1</v>
      </c>
      <c r="D178" s="409" t="s">
        <v>1025</v>
      </c>
      <c r="E178" s="432"/>
      <c r="F178" s="433"/>
    </row>
    <row r="179" spans="1:6" s="64" customFormat="1" ht="29.25" customHeight="1">
      <c r="A179" s="409"/>
      <c r="B179" s="407" t="s">
        <v>1798</v>
      </c>
      <c r="C179" s="409">
        <v>1</v>
      </c>
      <c r="D179" s="409" t="s">
        <v>1025</v>
      </c>
      <c r="E179" s="432"/>
      <c r="F179" s="433"/>
    </row>
    <row r="180" spans="1:6" s="64" customFormat="1" ht="29.25" customHeight="1">
      <c r="A180" s="409"/>
      <c r="B180" s="407" t="s">
        <v>1797</v>
      </c>
      <c r="C180" s="409">
        <v>1</v>
      </c>
      <c r="D180" s="409" t="s">
        <v>1025</v>
      </c>
      <c r="E180" s="432"/>
      <c r="F180" s="433"/>
    </row>
    <row r="181" spans="1:6" s="64" customFormat="1" ht="29.25" customHeight="1">
      <c r="A181" s="409" t="s">
        <v>1844</v>
      </c>
      <c r="B181" s="407" t="s">
        <v>1735</v>
      </c>
      <c r="C181" s="409"/>
      <c r="D181" s="409"/>
      <c r="E181" s="432"/>
      <c r="F181" s="433"/>
    </row>
    <row r="182" spans="1:6" s="64" customFormat="1" ht="29.25" customHeight="1">
      <c r="A182" s="409"/>
      <c r="B182" s="407" t="s">
        <v>1736</v>
      </c>
      <c r="C182" s="409">
        <v>1</v>
      </c>
      <c r="D182" s="409" t="s">
        <v>1734</v>
      </c>
      <c r="E182" s="432"/>
      <c r="F182" s="433"/>
    </row>
    <row r="183" spans="1:6" s="64" customFormat="1" ht="29.25" customHeight="1">
      <c r="A183" s="409"/>
      <c r="B183" s="407"/>
      <c r="C183" s="409"/>
      <c r="D183" s="409"/>
      <c r="E183" s="432"/>
      <c r="F183" s="433"/>
    </row>
    <row r="184" spans="1:6" s="64" customFormat="1" ht="29.25" customHeight="1">
      <c r="A184" s="409" t="s">
        <v>1810</v>
      </c>
      <c r="B184" s="407" t="s">
        <v>1811</v>
      </c>
      <c r="C184" s="409"/>
      <c r="D184" s="409"/>
      <c r="E184" s="432"/>
      <c r="F184" s="433"/>
    </row>
    <row r="185" spans="1:6" s="64" customFormat="1" ht="29.25" customHeight="1">
      <c r="A185" s="409"/>
      <c r="B185" s="407"/>
      <c r="C185" s="409"/>
      <c r="D185" s="409"/>
      <c r="E185" s="432"/>
      <c r="F185" s="433"/>
    </row>
    <row r="186" spans="1:6" s="64" customFormat="1" ht="29.25" customHeight="1">
      <c r="A186" s="409" t="s">
        <v>1812</v>
      </c>
      <c r="B186" s="407" t="s">
        <v>1813</v>
      </c>
      <c r="C186" s="409">
        <v>6</v>
      </c>
      <c r="D186" s="409" t="s">
        <v>1443</v>
      </c>
      <c r="E186" s="432"/>
      <c r="F186" s="433"/>
    </row>
    <row r="187" spans="1:6" s="64" customFormat="1" ht="29.25" customHeight="1">
      <c r="A187" s="409" t="s">
        <v>1814</v>
      </c>
      <c r="B187" s="407" t="s">
        <v>1815</v>
      </c>
      <c r="C187" s="409">
        <v>12</v>
      </c>
      <c r="D187" s="409" t="s">
        <v>1443</v>
      </c>
      <c r="E187" s="432"/>
      <c r="F187" s="433"/>
    </row>
    <row r="188" spans="1:6" s="64" customFormat="1" ht="29.25" customHeight="1">
      <c r="A188" s="409" t="s">
        <v>1816</v>
      </c>
      <c r="B188" s="407" t="s">
        <v>1817</v>
      </c>
      <c r="C188" s="409">
        <v>3</v>
      </c>
      <c r="D188" s="409" t="s">
        <v>1818</v>
      </c>
      <c r="E188" s="432"/>
      <c r="F188" s="433"/>
    </row>
    <row r="189" spans="1:6" s="64" customFormat="1" ht="29.25" customHeight="1">
      <c r="A189" s="168"/>
      <c r="B189" s="171"/>
      <c r="C189" s="168"/>
      <c r="D189" s="168"/>
      <c r="E189" s="169"/>
      <c r="F189" s="170"/>
    </row>
    <row r="190" spans="1:6" s="64" customFormat="1" ht="29.25" customHeight="1">
      <c r="A190" s="168"/>
      <c r="B190" s="171"/>
      <c r="C190" s="168"/>
      <c r="D190" s="168"/>
      <c r="E190" s="169"/>
      <c r="F190" s="170"/>
    </row>
    <row r="191" spans="1:6" s="64" customFormat="1" ht="29.25" customHeight="1">
      <c r="A191" s="172"/>
      <c r="B191" s="173"/>
      <c r="C191" s="172"/>
      <c r="D191" s="172"/>
      <c r="E191" s="174"/>
      <c r="F191" s="175"/>
    </row>
    <row r="192" spans="1:6" s="64" customFormat="1" ht="29.25" customHeight="1">
      <c r="A192" s="168"/>
      <c r="B192" s="171"/>
      <c r="C192" s="168"/>
      <c r="D192" s="168"/>
      <c r="E192" s="169"/>
      <c r="F192" s="170"/>
    </row>
    <row r="193" spans="1:6" s="64" customFormat="1" ht="29.25" customHeight="1">
      <c r="A193" s="168"/>
      <c r="B193" s="171"/>
      <c r="C193" s="168"/>
      <c r="D193" s="168"/>
      <c r="E193" s="169"/>
      <c r="F193" s="170"/>
    </row>
    <row r="194" spans="1:6" s="1" customFormat="1" ht="29.25" customHeight="1">
      <c r="A194" s="474" t="s">
        <v>1821</v>
      </c>
      <c r="B194" s="467"/>
      <c r="C194" s="468"/>
      <c r="D194" s="467"/>
      <c r="E194" s="468"/>
      <c r="F194" s="111">
        <f>SUM(F133:F190)</f>
        <v>0</v>
      </c>
    </row>
  </sheetData>
  <mergeCells count="2">
    <mergeCell ref="A194:E194"/>
    <mergeCell ref="D3:F3"/>
  </mergeCells>
  <phoneticPr fontId="34" type="noConversion"/>
  <pageMargins left="0.70866141732283505" right="0.70866141732283505" top="0.74803149606299202" bottom="0.74803149606299202" header="0.31496062992126" footer="0.31496062992126"/>
  <pageSetup paperSize="9" scale="71" orientation="portrait" r:id="rId1"/>
  <headerFooter>
    <oddFooter>&amp;R&amp;"宋体,常规"BQ-I-P.&amp;P/&amp;N</oddFooter>
  </headerFooter>
  <rowBreaks count="3" manualBreakCount="3">
    <brk id="88" max="16383" man="1"/>
    <brk id="127" max="16383" man="1"/>
    <brk id="18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showZeros="0" view="pageBreakPreview" topLeftCell="A44" zoomScaleNormal="85" workbookViewId="0">
      <selection activeCell="B54" sqref="B54"/>
    </sheetView>
  </sheetViews>
  <sheetFormatPr defaultColWidth="9.33203125" defaultRowHeight="20.100000000000001" customHeight="1"/>
  <cols>
    <col min="1" max="1" width="8.83203125" style="113" customWidth="1"/>
    <col min="2" max="2" width="74" style="114" customWidth="1"/>
    <col min="3" max="3" width="12.1640625" style="115" customWidth="1"/>
    <col min="4" max="4" width="8" style="115" customWidth="1"/>
    <col min="5" max="5" width="14.33203125" style="116" customWidth="1"/>
    <col min="6" max="7" width="18.6640625" style="112" customWidth="1"/>
    <col min="8" max="16384" width="9.33203125" style="113"/>
  </cols>
  <sheetData>
    <row r="1" spans="1:7" ht="20.100000000000001" customHeight="1">
      <c r="A1" s="117"/>
      <c r="B1" s="118"/>
      <c r="C1" s="113"/>
      <c r="D1" s="113"/>
      <c r="E1" s="113"/>
      <c r="F1" s="8" t="s">
        <v>0</v>
      </c>
      <c r="G1" s="119"/>
    </row>
    <row r="2" spans="1:7" ht="20.100000000000001" customHeight="1">
      <c r="A2" s="117"/>
      <c r="B2" s="118"/>
      <c r="C2" s="113"/>
      <c r="D2" s="113"/>
      <c r="E2" s="113"/>
      <c r="F2" s="8" t="s">
        <v>1</v>
      </c>
      <c r="G2" s="119"/>
    </row>
    <row r="3" spans="1:7" ht="20.100000000000001" customHeight="1">
      <c r="A3" s="120"/>
      <c r="B3" s="121"/>
      <c r="C3" s="122"/>
      <c r="D3" s="122"/>
      <c r="E3" s="122"/>
      <c r="F3" s="13" t="s">
        <v>2</v>
      </c>
      <c r="G3" s="119"/>
    </row>
    <row r="4" spans="1:7" ht="20.100000000000001" customHeight="1">
      <c r="A4" s="123" t="s">
        <v>6</v>
      </c>
      <c r="B4" s="118"/>
      <c r="C4" s="124"/>
      <c r="D4" s="125"/>
      <c r="E4" s="113"/>
      <c r="F4" s="126"/>
      <c r="G4" s="126"/>
    </row>
    <row r="5" spans="1:7" ht="20.100000000000001" customHeight="1">
      <c r="A5" s="127"/>
      <c r="B5" s="118"/>
      <c r="C5" s="124"/>
      <c r="D5" s="124"/>
      <c r="E5" s="113"/>
      <c r="F5" s="126"/>
      <c r="G5" s="126"/>
    </row>
    <row r="6" spans="1:7" ht="20.100000000000001" customHeight="1">
      <c r="A6" s="127" t="s">
        <v>1141</v>
      </c>
      <c r="B6" s="118"/>
    </row>
    <row r="7" spans="1:7" ht="33" customHeight="1">
      <c r="A7" s="128" t="s">
        <v>166</v>
      </c>
      <c r="B7" s="129" t="s">
        <v>167</v>
      </c>
      <c r="C7" s="128" t="s">
        <v>168</v>
      </c>
      <c r="D7" s="128" t="s">
        <v>169</v>
      </c>
      <c r="E7" s="130" t="s">
        <v>1013</v>
      </c>
      <c r="F7" s="131" t="s">
        <v>1014</v>
      </c>
      <c r="G7" s="113"/>
    </row>
    <row r="8" spans="1:7" ht="20.100000000000001" customHeight="1">
      <c r="A8" s="132"/>
      <c r="B8" s="133" t="s">
        <v>170</v>
      </c>
      <c r="C8" s="134"/>
      <c r="D8" s="134"/>
      <c r="E8" s="135"/>
      <c r="F8" s="136"/>
      <c r="G8" s="137"/>
    </row>
    <row r="9" spans="1:7" ht="20.100000000000001" customHeight="1">
      <c r="A9" s="138" t="s">
        <v>171</v>
      </c>
      <c r="B9" s="133" t="s">
        <v>1142</v>
      </c>
      <c r="C9" s="139"/>
      <c r="D9" s="139"/>
      <c r="E9" s="140"/>
      <c r="F9" s="141"/>
      <c r="G9" s="137"/>
    </row>
    <row r="10" spans="1:7" ht="20.100000000000001" customHeight="1">
      <c r="A10" s="138"/>
      <c r="B10" s="133" t="s">
        <v>1143</v>
      </c>
      <c r="C10" s="139"/>
      <c r="D10" s="139"/>
      <c r="E10" s="140"/>
      <c r="F10" s="141"/>
      <c r="G10" s="137"/>
    </row>
    <row r="11" spans="1:7" ht="20.100000000000001" customHeight="1">
      <c r="A11" s="142"/>
      <c r="B11" s="133" t="s">
        <v>1100</v>
      </c>
      <c r="C11" s="139"/>
      <c r="D11" s="139"/>
      <c r="E11" s="140"/>
      <c r="F11" s="141"/>
      <c r="G11" s="137"/>
    </row>
    <row r="12" spans="1:7" ht="20.100000000000001" customHeight="1">
      <c r="A12" s="142"/>
      <c r="B12" s="133" t="s">
        <v>1101</v>
      </c>
      <c r="C12" s="139"/>
      <c r="D12" s="139"/>
      <c r="E12" s="140"/>
      <c r="F12" s="141"/>
      <c r="G12" s="137"/>
    </row>
    <row r="13" spans="1:7" ht="20.100000000000001" customHeight="1">
      <c r="A13" s="142"/>
      <c r="B13" s="133" t="s">
        <v>1102</v>
      </c>
      <c r="C13" s="139"/>
      <c r="D13" s="139"/>
      <c r="E13" s="140"/>
      <c r="F13" s="141"/>
      <c r="G13" s="137"/>
    </row>
    <row r="14" spans="1:7" ht="20.100000000000001" customHeight="1">
      <c r="A14" s="142"/>
      <c r="B14" s="133" t="s">
        <v>1103</v>
      </c>
      <c r="C14" s="139"/>
      <c r="D14" s="139"/>
      <c r="E14" s="140"/>
      <c r="F14" s="141"/>
      <c r="G14" s="137"/>
    </row>
    <row r="15" spans="1:7" ht="20.100000000000001" customHeight="1">
      <c r="A15" s="142"/>
      <c r="B15" s="133" t="s">
        <v>1104</v>
      </c>
      <c r="C15" s="139"/>
      <c r="D15" s="139"/>
      <c r="E15" s="140"/>
      <c r="F15" s="141"/>
      <c r="G15" s="137"/>
    </row>
    <row r="16" spans="1:7" ht="20.100000000000001" customHeight="1">
      <c r="A16" s="142"/>
      <c r="B16" s="133"/>
      <c r="C16" s="139"/>
      <c r="D16" s="139"/>
      <c r="E16" s="140"/>
      <c r="F16" s="141"/>
      <c r="G16" s="137"/>
    </row>
    <row r="17" spans="1:7" ht="20.100000000000001" customHeight="1">
      <c r="A17" s="138" t="s">
        <v>171</v>
      </c>
      <c r="B17" s="133" t="s">
        <v>1105</v>
      </c>
      <c r="C17" s="139"/>
      <c r="D17" s="139"/>
      <c r="E17" s="140"/>
      <c r="F17" s="141"/>
      <c r="G17" s="137"/>
    </row>
    <row r="18" spans="1:7" ht="20.100000000000001" customHeight="1">
      <c r="A18" s="142"/>
      <c r="B18" s="133" t="s">
        <v>1106</v>
      </c>
      <c r="C18" s="139"/>
      <c r="D18" s="139"/>
      <c r="E18" s="140"/>
      <c r="F18" s="141"/>
      <c r="G18" s="137"/>
    </row>
    <row r="19" spans="1:7" ht="20.100000000000001" customHeight="1">
      <c r="A19" s="142"/>
      <c r="B19" s="133" t="s">
        <v>1107</v>
      </c>
      <c r="C19" s="139"/>
      <c r="D19" s="139"/>
      <c r="E19" s="140"/>
      <c r="F19" s="141"/>
      <c r="G19" s="137"/>
    </row>
    <row r="20" spans="1:7" ht="20.100000000000001" customHeight="1">
      <c r="A20" s="142"/>
      <c r="B20" s="133" t="s">
        <v>1108</v>
      </c>
      <c r="C20" s="139"/>
      <c r="D20" s="139"/>
      <c r="E20" s="140"/>
      <c r="F20" s="141"/>
      <c r="G20" s="137"/>
    </row>
    <row r="21" spans="1:7" ht="20.100000000000001" customHeight="1">
      <c r="A21" s="142"/>
      <c r="B21" s="133" t="s">
        <v>1109</v>
      </c>
      <c r="C21" s="139"/>
      <c r="D21" s="139"/>
      <c r="E21" s="140"/>
      <c r="F21" s="141"/>
      <c r="G21" s="137"/>
    </row>
    <row r="22" spans="1:7" ht="20.100000000000001" customHeight="1">
      <c r="A22" s="142"/>
      <c r="B22" s="133" t="s">
        <v>1110</v>
      </c>
      <c r="C22" s="139"/>
      <c r="D22" s="139"/>
      <c r="E22" s="140"/>
      <c r="F22" s="141"/>
      <c r="G22" s="137"/>
    </row>
    <row r="23" spans="1:7" ht="20.100000000000001" customHeight="1">
      <c r="A23" s="142"/>
      <c r="B23" s="133" t="s">
        <v>1111</v>
      </c>
      <c r="C23" s="139"/>
      <c r="D23" s="139"/>
      <c r="E23" s="140"/>
      <c r="F23" s="141"/>
      <c r="G23" s="137"/>
    </row>
    <row r="24" spans="1:7" ht="20.100000000000001" customHeight="1">
      <c r="A24" s="142"/>
      <c r="B24" s="133"/>
      <c r="C24" s="139"/>
      <c r="D24" s="139"/>
      <c r="E24" s="140"/>
      <c r="F24" s="141"/>
      <c r="G24" s="137"/>
    </row>
    <row r="25" spans="1:7" ht="20.100000000000001" customHeight="1">
      <c r="A25" s="138" t="s">
        <v>171</v>
      </c>
      <c r="B25" s="133" t="s">
        <v>1112</v>
      </c>
      <c r="C25" s="139"/>
      <c r="D25" s="139"/>
      <c r="E25" s="140"/>
      <c r="F25" s="141"/>
      <c r="G25" s="137"/>
    </row>
    <row r="26" spans="1:7" ht="20.100000000000001" customHeight="1">
      <c r="A26" s="142"/>
      <c r="B26" s="133" t="s">
        <v>1113</v>
      </c>
      <c r="C26" s="139"/>
      <c r="D26" s="139"/>
      <c r="E26" s="140"/>
      <c r="F26" s="141"/>
      <c r="G26" s="137"/>
    </row>
    <row r="27" spans="1:7" ht="20.100000000000001" customHeight="1">
      <c r="A27" s="142"/>
      <c r="B27" s="133" t="s">
        <v>1114</v>
      </c>
      <c r="C27" s="139"/>
      <c r="D27" s="139"/>
      <c r="E27" s="140"/>
      <c r="F27" s="141"/>
      <c r="G27" s="137"/>
    </row>
    <row r="28" spans="1:7" ht="20.100000000000001" customHeight="1">
      <c r="A28" s="142"/>
      <c r="B28" s="133" t="s">
        <v>1115</v>
      </c>
      <c r="C28" s="139"/>
      <c r="D28" s="139"/>
      <c r="E28" s="140"/>
      <c r="F28" s="141"/>
      <c r="G28" s="137"/>
    </row>
    <row r="29" spans="1:7" ht="20.100000000000001" customHeight="1">
      <c r="A29" s="142"/>
      <c r="B29" s="133"/>
      <c r="C29" s="139"/>
      <c r="D29" s="139"/>
      <c r="E29" s="140"/>
      <c r="F29" s="141"/>
      <c r="G29" s="137"/>
    </row>
    <row r="30" spans="1:7" ht="20.100000000000001" customHeight="1">
      <c r="A30" s="142"/>
      <c r="B30" s="133" t="s">
        <v>1116</v>
      </c>
      <c r="C30" s="139"/>
      <c r="D30" s="139"/>
      <c r="E30" s="140"/>
      <c r="F30" s="141"/>
      <c r="G30" s="137"/>
    </row>
    <row r="31" spans="1:7" ht="20.100000000000001" customHeight="1">
      <c r="A31" s="142"/>
      <c r="B31" s="133" t="s">
        <v>1117</v>
      </c>
      <c r="C31" s="139"/>
      <c r="D31" s="139"/>
      <c r="E31" s="140"/>
      <c r="F31" s="141"/>
      <c r="G31" s="137"/>
    </row>
    <row r="32" spans="1:7" ht="20.100000000000001" customHeight="1">
      <c r="A32" s="142"/>
      <c r="B32" s="133" t="s">
        <v>1118</v>
      </c>
      <c r="C32" s="139"/>
      <c r="D32" s="139"/>
      <c r="E32" s="140"/>
      <c r="F32" s="141"/>
      <c r="G32" s="137"/>
    </row>
    <row r="33" spans="1:7" ht="20.100000000000001" customHeight="1">
      <c r="A33" s="142"/>
      <c r="B33" s="133"/>
      <c r="C33" s="139"/>
      <c r="D33" s="139"/>
      <c r="E33" s="140"/>
      <c r="F33" s="141"/>
      <c r="G33" s="137"/>
    </row>
    <row r="34" spans="1:7" ht="33">
      <c r="A34" s="138" t="s">
        <v>171</v>
      </c>
      <c r="B34" s="133" t="s">
        <v>1144</v>
      </c>
      <c r="C34" s="139"/>
      <c r="D34" s="139"/>
      <c r="E34" s="140"/>
      <c r="F34" s="141"/>
      <c r="G34" s="137"/>
    </row>
    <row r="35" spans="1:7" ht="20.100000000000001" customHeight="1">
      <c r="A35" s="142"/>
      <c r="B35" s="133" t="s">
        <v>1119</v>
      </c>
      <c r="C35" s="139"/>
      <c r="D35" s="139"/>
      <c r="E35" s="140"/>
      <c r="F35" s="141"/>
      <c r="G35" s="137"/>
    </row>
    <row r="36" spans="1:7" ht="20.100000000000001" customHeight="1">
      <c r="A36" s="142"/>
      <c r="B36" s="133" t="s">
        <v>1145</v>
      </c>
      <c r="C36" s="139"/>
      <c r="D36" s="139"/>
      <c r="E36" s="140"/>
      <c r="F36" s="141"/>
      <c r="G36" s="137"/>
    </row>
    <row r="37" spans="1:7" ht="20.100000000000001" customHeight="1">
      <c r="A37" s="142"/>
      <c r="B37" s="133" t="s">
        <v>1120</v>
      </c>
      <c r="C37" s="139">
        <v>1</v>
      </c>
      <c r="D37" s="139" t="s">
        <v>1021</v>
      </c>
      <c r="E37" s="140"/>
      <c r="F37" s="141"/>
      <c r="G37" s="137"/>
    </row>
    <row r="38" spans="1:7" ht="20.100000000000001" customHeight="1">
      <c r="A38" s="142"/>
      <c r="B38" s="133"/>
      <c r="C38" s="139"/>
      <c r="D38" s="139"/>
      <c r="E38" s="140"/>
      <c r="F38" s="141"/>
      <c r="G38" s="137"/>
    </row>
    <row r="39" spans="1:7" ht="66">
      <c r="A39" s="143" t="s">
        <v>1146</v>
      </c>
      <c r="B39" s="144" t="s">
        <v>1147</v>
      </c>
      <c r="C39" s="145">
        <v>1</v>
      </c>
      <c r="D39" s="146" t="s">
        <v>1015</v>
      </c>
      <c r="E39" s="147"/>
      <c r="F39" s="148"/>
    </row>
    <row r="40" spans="1:7" ht="16.5">
      <c r="A40" s="143"/>
      <c r="B40" s="144"/>
      <c r="C40" s="145"/>
      <c r="D40" s="146"/>
      <c r="E40" s="147"/>
      <c r="F40" s="148"/>
    </row>
    <row r="41" spans="1:7" ht="49.5">
      <c r="A41" s="143" t="s">
        <v>1148</v>
      </c>
      <c r="B41" s="144" t="s">
        <v>1149</v>
      </c>
      <c r="C41" s="145">
        <v>1</v>
      </c>
      <c r="D41" s="146" t="s">
        <v>1015</v>
      </c>
      <c r="E41" s="147"/>
      <c r="F41" s="148"/>
    </row>
    <row r="42" spans="1:7" ht="16.5">
      <c r="A42" s="143"/>
      <c r="B42" s="144"/>
      <c r="C42" s="145"/>
      <c r="D42" s="146"/>
      <c r="E42" s="147"/>
      <c r="F42" s="148"/>
    </row>
    <row r="43" spans="1:7" ht="16.5">
      <c r="A43" s="149"/>
      <c r="B43" s="150"/>
      <c r="C43" s="151"/>
      <c r="D43" s="152"/>
      <c r="E43" s="153"/>
      <c r="F43" s="154"/>
    </row>
    <row r="44" spans="1:7" ht="16.5">
      <c r="A44" s="143"/>
      <c r="B44" s="155"/>
      <c r="C44" s="145"/>
      <c r="D44" s="156"/>
      <c r="E44" s="147"/>
      <c r="F44" s="148"/>
    </row>
    <row r="45" spans="1:7" ht="16.5">
      <c r="A45" s="143" t="s">
        <v>1150</v>
      </c>
      <c r="B45" s="157" t="s">
        <v>1151</v>
      </c>
      <c r="C45" s="145">
        <v>2</v>
      </c>
      <c r="D45" s="146" t="s">
        <v>699</v>
      </c>
      <c r="E45" s="147"/>
      <c r="F45" s="148"/>
    </row>
    <row r="46" spans="1:7" ht="16.5">
      <c r="A46" s="143"/>
      <c r="B46" s="157"/>
      <c r="C46" s="145"/>
      <c r="D46" s="146"/>
      <c r="E46" s="147"/>
      <c r="F46" s="148"/>
    </row>
    <row r="47" spans="1:7" ht="16.5">
      <c r="A47" s="143" t="s">
        <v>1152</v>
      </c>
      <c r="B47" s="158" t="s">
        <v>1153</v>
      </c>
      <c r="C47" s="145">
        <v>400</v>
      </c>
      <c r="D47" s="156" t="s">
        <v>411</v>
      </c>
      <c r="E47" s="147"/>
      <c r="F47" s="148"/>
    </row>
    <row r="48" spans="1:7" ht="16.5">
      <c r="A48" s="143"/>
      <c r="B48" s="158"/>
      <c r="C48" s="145"/>
      <c r="D48" s="156"/>
      <c r="E48" s="147"/>
      <c r="F48" s="148"/>
    </row>
    <row r="49" spans="1:6" s="112" customFormat="1" ht="16.5">
      <c r="A49" s="159" t="s">
        <v>1154</v>
      </c>
      <c r="B49" s="160" t="s">
        <v>1675</v>
      </c>
      <c r="C49" s="161"/>
      <c r="D49" s="156"/>
      <c r="E49" s="147"/>
      <c r="F49" s="148"/>
    </row>
    <row r="50" spans="1:6" s="112" customFormat="1" ht="16.5">
      <c r="A50" s="143" t="s">
        <v>1155</v>
      </c>
      <c r="B50" s="158" t="s">
        <v>1674</v>
      </c>
      <c r="C50" s="145">
        <v>300</v>
      </c>
      <c r="D50" s="156" t="s">
        <v>1016</v>
      </c>
      <c r="E50" s="147"/>
      <c r="F50" s="148"/>
    </row>
    <row r="51" spans="1:6" s="112" customFormat="1" ht="16.5">
      <c r="A51" s="143"/>
      <c r="B51" s="158"/>
      <c r="C51" s="145"/>
      <c r="D51" s="156"/>
      <c r="E51" s="147"/>
      <c r="F51" s="148"/>
    </row>
    <row r="52" spans="1:6" s="112" customFormat="1" ht="16.5">
      <c r="A52" s="143" t="s">
        <v>1156</v>
      </c>
      <c r="B52" s="158" t="s">
        <v>1157</v>
      </c>
      <c r="C52" s="145">
        <v>30</v>
      </c>
      <c r="D52" s="156" t="s">
        <v>628</v>
      </c>
      <c r="E52" s="147"/>
      <c r="F52" s="148"/>
    </row>
    <row r="53" spans="1:6" s="112" customFormat="1" ht="16.5">
      <c r="A53" s="143"/>
      <c r="B53" s="158"/>
      <c r="C53" s="145"/>
      <c r="D53" s="156"/>
      <c r="E53" s="147"/>
      <c r="F53" s="148"/>
    </row>
    <row r="54" spans="1:6" s="112" customFormat="1" ht="16.5">
      <c r="A54" s="143" t="s">
        <v>1158</v>
      </c>
      <c r="B54" s="158" t="s">
        <v>1159</v>
      </c>
      <c r="C54" s="145">
        <v>200</v>
      </c>
      <c r="D54" s="156" t="s">
        <v>628</v>
      </c>
      <c r="E54" s="147"/>
      <c r="F54" s="148"/>
    </row>
    <row r="55" spans="1:6" s="112" customFormat="1" ht="16.5">
      <c r="A55" s="143"/>
      <c r="B55" s="158"/>
      <c r="C55" s="145"/>
      <c r="D55" s="156"/>
      <c r="E55" s="147"/>
      <c r="F55" s="148"/>
    </row>
    <row r="56" spans="1:6" s="112" customFormat="1" ht="16.5">
      <c r="A56" s="143" t="s">
        <v>1160</v>
      </c>
      <c r="B56" s="158" t="s">
        <v>1161</v>
      </c>
      <c r="C56" s="145">
        <v>300</v>
      </c>
      <c r="D56" s="156" t="s">
        <v>411</v>
      </c>
      <c r="E56" s="147"/>
      <c r="F56" s="148"/>
    </row>
    <row r="57" spans="1:6" s="112" customFormat="1" ht="16.5">
      <c r="A57" s="143"/>
      <c r="B57" s="158"/>
      <c r="C57" s="145"/>
      <c r="D57" s="156"/>
      <c r="E57" s="147"/>
      <c r="F57" s="148"/>
    </row>
    <row r="58" spans="1:6" s="112" customFormat="1" ht="16.5">
      <c r="A58" s="143" t="s">
        <v>1162</v>
      </c>
      <c r="B58" s="158" t="s">
        <v>1163</v>
      </c>
      <c r="C58" s="145">
        <v>30</v>
      </c>
      <c r="D58" s="156" t="s">
        <v>411</v>
      </c>
      <c r="E58" s="147"/>
      <c r="F58" s="148"/>
    </row>
    <row r="59" spans="1:6" s="112" customFormat="1" ht="16.5">
      <c r="A59" s="143"/>
      <c r="B59" s="158"/>
      <c r="C59" s="145"/>
      <c r="D59" s="156"/>
      <c r="E59" s="147"/>
      <c r="F59" s="148"/>
    </row>
    <row r="60" spans="1:6" s="112" customFormat="1" ht="16.5">
      <c r="A60" s="162" t="s">
        <v>1164</v>
      </c>
      <c r="B60" s="160" t="s">
        <v>1676</v>
      </c>
      <c r="C60" s="161"/>
      <c r="D60" s="156"/>
      <c r="E60" s="147"/>
      <c r="F60" s="148"/>
    </row>
    <row r="61" spans="1:6" s="112" customFormat="1" ht="16.5">
      <c r="A61" s="143" t="s">
        <v>1165</v>
      </c>
      <c r="B61" s="158" t="s">
        <v>1674</v>
      </c>
      <c r="C61" s="145">
        <v>600</v>
      </c>
      <c r="D61" s="156" t="s">
        <v>1016</v>
      </c>
      <c r="E61" s="147"/>
      <c r="F61" s="148"/>
    </row>
    <row r="62" spans="1:6" s="112" customFormat="1" ht="16.5">
      <c r="A62" s="143"/>
      <c r="B62" s="158"/>
      <c r="C62" s="145"/>
      <c r="D62" s="156"/>
      <c r="E62" s="147"/>
      <c r="F62" s="148"/>
    </row>
    <row r="63" spans="1:6" s="112" customFormat="1" ht="16.5">
      <c r="A63" s="143" t="s">
        <v>1166</v>
      </c>
      <c r="B63" s="158" t="s">
        <v>1157</v>
      </c>
      <c r="C63" s="145">
        <v>60</v>
      </c>
      <c r="D63" s="156" t="s">
        <v>628</v>
      </c>
      <c r="E63" s="147"/>
      <c r="F63" s="148"/>
    </row>
    <row r="64" spans="1:6" s="112" customFormat="1" ht="16.5">
      <c r="A64" s="143"/>
      <c r="B64" s="158"/>
      <c r="C64" s="145"/>
      <c r="D64" s="156"/>
      <c r="E64" s="147"/>
      <c r="F64" s="148"/>
    </row>
    <row r="65" spans="1:7" s="112" customFormat="1" ht="16.5">
      <c r="A65" s="143" t="s">
        <v>1167</v>
      </c>
      <c r="B65" s="158" t="s">
        <v>1159</v>
      </c>
      <c r="C65" s="145">
        <v>400</v>
      </c>
      <c r="D65" s="156" t="s">
        <v>628</v>
      </c>
      <c r="E65" s="147"/>
      <c r="F65" s="148"/>
    </row>
    <row r="66" spans="1:7" s="112" customFormat="1" ht="16.5">
      <c r="A66" s="143"/>
      <c r="B66" s="158"/>
      <c r="C66" s="145"/>
      <c r="D66" s="156"/>
      <c r="E66" s="147"/>
      <c r="F66" s="148"/>
    </row>
    <row r="67" spans="1:7" s="112" customFormat="1" ht="16.5">
      <c r="A67" s="143" t="s">
        <v>1168</v>
      </c>
      <c r="B67" s="158" t="s">
        <v>1161</v>
      </c>
      <c r="C67" s="145">
        <v>500</v>
      </c>
      <c r="D67" s="156" t="s">
        <v>411</v>
      </c>
      <c r="E67" s="147"/>
      <c r="F67" s="148"/>
    </row>
    <row r="68" spans="1:7" s="112" customFormat="1" ht="16.5">
      <c r="A68" s="143"/>
      <c r="B68" s="158"/>
      <c r="C68" s="145"/>
      <c r="D68" s="156"/>
      <c r="E68" s="147"/>
      <c r="F68" s="148"/>
    </row>
    <row r="69" spans="1:7" s="112" customFormat="1" ht="16.5">
      <c r="A69" s="143" t="s">
        <v>1169</v>
      </c>
      <c r="B69" s="158" t="s">
        <v>1163</v>
      </c>
      <c r="C69" s="145">
        <v>100</v>
      </c>
      <c r="D69" s="156" t="s">
        <v>411</v>
      </c>
      <c r="E69" s="147"/>
      <c r="F69" s="148"/>
    </row>
    <row r="70" spans="1:7" s="112" customFormat="1" ht="16.5">
      <c r="A70" s="143"/>
      <c r="B70" s="158"/>
      <c r="C70" s="145"/>
      <c r="D70" s="156"/>
      <c r="E70" s="147"/>
      <c r="F70" s="148"/>
    </row>
    <row r="71" spans="1:7" s="112" customFormat="1" ht="16.5">
      <c r="A71" s="143" t="s">
        <v>1170</v>
      </c>
      <c r="B71" s="158" t="s">
        <v>1171</v>
      </c>
      <c r="C71" s="145">
        <v>50</v>
      </c>
      <c r="D71" s="156" t="s">
        <v>628</v>
      </c>
      <c r="E71" s="147"/>
      <c r="F71" s="148"/>
    </row>
    <row r="72" spans="1:7" s="112" customFormat="1" ht="43.5" customHeight="1">
      <c r="A72" s="143"/>
      <c r="B72" s="163"/>
      <c r="C72" s="143"/>
      <c r="D72" s="143"/>
      <c r="E72" s="147"/>
      <c r="F72" s="148"/>
    </row>
    <row r="73" spans="1:7" ht="21.75" customHeight="1">
      <c r="A73" s="476" t="s">
        <v>1172</v>
      </c>
      <c r="B73" s="477"/>
      <c r="C73" s="477"/>
      <c r="D73" s="477"/>
      <c r="E73" s="477"/>
      <c r="F73" s="164">
        <f>SUM(F58:F72)</f>
        <v>0</v>
      </c>
      <c r="G73" s="113"/>
    </row>
  </sheetData>
  <autoFilter ref="B1:B74"/>
  <mergeCells count="1">
    <mergeCell ref="A73:E73"/>
  </mergeCells>
  <phoneticPr fontId="34" type="noConversion"/>
  <printOptions horizontalCentered="1"/>
  <pageMargins left="0.70866141732283505" right="0.31496062992126" top="0.74803149606299202" bottom="0.74803149606299202" header="0.31496062992126" footer="0.31496062992126"/>
  <pageSetup paperSize="9" scale="74" orientation="portrait" r:id="rId1"/>
  <headerFooter>
    <oddFooter>&amp;R&amp;"宋体,常规"BQ-J-P.&amp;P/&amp;N</oddFooter>
  </headerFooter>
  <rowBreaks count="1" manualBreakCount="1">
    <brk id="4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9"/>
  <sheetViews>
    <sheetView showZeros="0" view="pageBreakPreview" topLeftCell="A65" zoomScaleNormal="85" workbookViewId="0">
      <selection activeCell="B70" sqref="B70"/>
    </sheetView>
  </sheetViews>
  <sheetFormatPr defaultColWidth="9.33203125" defaultRowHeight="13.5"/>
  <cols>
    <col min="1" max="1" width="8.83203125" style="1" customWidth="1"/>
    <col min="2" max="2" width="71.1640625" style="61" customWidth="1"/>
    <col min="3" max="3" width="9.5" style="62" customWidth="1"/>
    <col min="4" max="4" width="8" style="62" customWidth="1"/>
    <col min="5" max="5" width="13" style="63" customWidth="1"/>
    <col min="6" max="6" width="18.6640625" style="64" customWidth="1"/>
    <col min="7" max="16384" width="9.33203125" style="61"/>
  </cols>
  <sheetData>
    <row r="1" spans="1:7" ht="20.100000000000001" customHeight="1">
      <c r="A1" s="6"/>
      <c r="B1" s="65"/>
      <c r="C1" s="61"/>
      <c r="E1" s="61"/>
      <c r="F1" s="66" t="s">
        <v>0</v>
      </c>
    </row>
    <row r="2" spans="1:7" ht="20.100000000000001" customHeight="1">
      <c r="A2" s="6"/>
      <c r="B2" s="65"/>
      <c r="C2" s="61"/>
      <c r="E2" s="61"/>
      <c r="F2" s="66" t="s">
        <v>1</v>
      </c>
    </row>
    <row r="3" spans="1:7" ht="20.100000000000001" customHeight="1">
      <c r="A3" s="67"/>
      <c r="B3" s="68"/>
      <c r="C3" s="69"/>
      <c r="D3" s="70"/>
      <c r="E3" s="69"/>
      <c r="F3" s="71" t="s">
        <v>2</v>
      </c>
    </row>
    <row r="4" spans="1:7" ht="20.100000000000001" customHeight="1">
      <c r="A4" s="72" t="s">
        <v>6</v>
      </c>
      <c r="B4" s="73"/>
      <c r="C4" s="73"/>
      <c r="D4" s="74"/>
      <c r="E4" s="61"/>
      <c r="F4" s="75"/>
    </row>
    <row r="5" spans="1:7" ht="8.25" customHeight="1">
      <c r="A5" s="18"/>
      <c r="B5" s="73"/>
      <c r="C5" s="73"/>
      <c r="D5" s="76"/>
      <c r="E5" s="61"/>
      <c r="F5" s="75"/>
      <c r="G5" s="77"/>
    </row>
    <row r="6" spans="1:7" ht="20.100000000000001" customHeight="1">
      <c r="A6" s="18" t="s">
        <v>1173</v>
      </c>
      <c r="B6" s="73"/>
      <c r="C6" s="76"/>
    </row>
    <row r="7" spans="1:7" ht="33" customHeight="1">
      <c r="A7" s="22" t="s">
        <v>166</v>
      </c>
      <c r="B7" s="23" t="s">
        <v>167</v>
      </c>
      <c r="C7" s="22" t="s">
        <v>168</v>
      </c>
      <c r="D7" s="22" t="s">
        <v>169</v>
      </c>
      <c r="E7" s="78" t="s">
        <v>144</v>
      </c>
      <c r="F7" s="79" t="s">
        <v>145</v>
      </c>
    </row>
    <row r="8" spans="1:7" ht="27" customHeight="1">
      <c r="A8" s="26"/>
      <c r="B8" s="27" t="s">
        <v>170</v>
      </c>
      <c r="C8" s="80"/>
      <c r="D8" s="80"/>
      <c r="E8" s="81"/>
      <c r="F8" s="82"/>
    </row>
    <row r="9" spans="1:7" ht="78.75" customHeight="1">
      <c r="A9" s="31" t="s">
        <v>171</v>
      </c>
      <c r="B9" s="32" t="s">
        <v>1174</v>
      </c>
      <c r="C9" s="40"/>
      <c r="D9" s="40"/>
      <c r="E9" s="41"/>
      <c r="F9" s="83"/>
    </row>
    <row r="10" spans="1:7" ht="66.75" customHeight="1">
      <c r="A10" s="31" t="s">
        <v>171</v>
      </c>
      <c r="B10" s="84" t="s">
        <v>149</v>
      </c>
      <c r="C10" s="40"/>
      <c r="D10" s="40"/>
      <c r="E10" s="41"/>
      <c r="F10" s="83"/>
    </row>
    <row r="11" spans="1:7" ht="15" customHeight="1">
      <c r="A11" s="37"/>
      <c r="B11" s="32"/>
      <c r="C11" s="40"/>
      <c r="D11" s="40"/>
      <c r="E11" s="41"/>
      <c r="F11" s="83"/>
    </row>
    <row r="12" spans="1:7" ht="15" customHeight="1">
      <c r="A12" s="85" t="s">
        <v>1146</v>
      </c>
      <c r="B12" s="86" t="s">
        <v>1175</v>
      </c>
      <c r="C12" s="87"/>
      <c r="D12" s="88"/>
      <c r="E12" s="41"/>
      <c r="F12" s="83"/>
    </row>
    <row r="13" spans="1:7" ht="37.5" customHeight="1">
      <c r="A13" s="89"/>
      <c r="B13" s="90" t="s">
        <v>1176</v>
      </c>
      <c r="C13" s="91"/>
      <c r="D13" s="92"/>
      <c r="E13" s="41"/>
      <c r="F13" s="83"/>
    </row>
    <row r="14" spans="1:7" ht="37.5" customHeight="1">
      <c r="A14" s="89"/>
      <c r="B14" s="90" t="s">
        <v>1177</v>
      </c>
      <c r="C14" s="91"/>
      <c r="D14" s="92"/>
      <c r="E14" s="41"/>
      <c r="F14" s="83"/>
    </row>
    <row r="15" spans="1:7" ht="15" customHeight="1">
      <c r="A15" s="93"/>
      <c r="B15" s="94"/>
      <c r="C15" s="95"/>
      <c r="D15" s="96"/>
      <c r="E15" s="41"/>
      <c r="F15" s="83"/>
    </row>
    <row r="16" spans="1:7" ht="15" customHeight="1">
      <c r="A16" s="93" t="s">
        <v>1178</v>
      </c>
      <c r="B16" s="97" t="s">
        <v>1179</v>
      </c>
      <c r="C16" s="95"/>
      <c r="D16" s="96"/>
      <c r="E16" s="41"/>
      <c r="F16" s="83"/>
    </row>
    <row r="17" spans="1:6" ht="15" customHeight="1">
      <c r="A17" s="93"/>
      <c r="B17" s="97"/>
      <c r="C17" s="95"/>
      <c r="D17" s="96"/>
      <c r="E17" s="41"/>
      <c r="F17" s="83"/>
    </row>
    <row r="18" spans="1:6" ht="27">
      <c r="A18" s="93" t="s">
        <v>1180</v>
      </c>
      <c r="B18" s="98" t="s">
        <v>1181</v>
      </c>
      <c r="C18" s="95">
        <v>3</v>
      </c>
      <c r="D18" s="96" t="s">
        <v>628</v>
      </c>
      <c r="E18" s="41"/>
      <c r="F18" s="83"/>
    </row>
    <row r="19" spans="1:6">
      <c r="A19" s="93"/>
      <c r="B19" s="98"/>
      <c r="C19" s="95"/>
      <c r="D19" s="96"/>
      <c r="E19" s="41"/>
      <c r="F19" s="83"/>
    </row>
    <row r="20" spans="1:6" ht="15" customHeight="1">
      <c r="A20" s="93" t="s">
        <v>1182</v>
      </c>
      <c r="B20" s="99" t="s">
        <v>1183</v>
      </c>
      <c r="C20" s="95">
        <v>2</v>
      </c>
      <c r="D20" s="96" t="s">
        <v>628</v>
      </c>
      <c r="E20" s="41"/>
      <c r="F20" s="83"/>
    </row>
    <row r="21" spans="1:6" ht="15" customHeight="1">
      <c r="A21" s="93"/>
      <c r="B21" s="99"/>
      <c r="C21" s="95"/>
      <c r="D21" s="96"/>
      <c r="E21" s="41"/>
      <c r="F21" s="83"/>
    </row>
    <row r="22" spans="1:6" ht="15" customHeight="1">
      <c r="A22" s="93" t="s">
        <v>1184</v>
      </c>
      <c r="B22" s="99" t="s">
        <v>1185</v>
      </c>
      <c r="C22" s="95">
        <v>2</v>
      </c>
      <c r="D22" s="96" t="s">
        <v>628</v>
      </c>
      <c r="E22" s="41"/>
      <c r="F22" s="83"/>
    </row>
    <row r="23" spans="1:6" ht="15" customHeight="1">
      <c r="A23" s="93"/>
      <c r="B23" s="99"/>
      <c r="C23" s="95"/>
      <c r="D23" s="96"/>
      <c r="E23" s="41"/>
      <c r="F23" s="83"/>
    </row>
    <row r="24" spans="1:6" ht="15" customHeight="1">
      <c r="A24" s="93" t="s">
        <v>1186</v>
      </c>
      <c r="B24" s="99" t="s">
        <v>1187</v>
      </c>
      <c r="C24" s="95">
        <v>3</v>
      </c>
      <c r="D24" s="96" t="s">
        <v>628</v>
      </c>
      <c r="E24" s="41"/>
      <c r="F24" s="83"/>
    </row>
    <row r="25" spans="1:6" ht="15" customHeight="1">
      <c r="A25" s="93"/>
      <c r="B25" s="99"/>
      <c r="C25" s="95"/>
      <c r="D25" s="96"/>
      <c r="E25" s="41"/>
      <c r="F25" s="83"/>
    </row>
    <row r="26" spans="1:6" ht="15" customHeight="1">
      <c r="A26" s="93" t="s">
        <v>1188</v>
      </c>
      <c r="B26" s="94" t="s">
        <v>1189</v>
      </c>
      <c r="C26" s="95">
        <v>2</v>
      </c>
      <c r="D26" s="96" t="s">
        <v>628</v>
      </c>
      <c r="E26" s="41"/>
      <c r="F26" s="83"/>
    </row>
    <row r="27" spans="1:6" ht="15" customHeight="1">
      <c r="A27" s="93"/>
      <c r="B27" s="97"/>
      <c r="C27" s="95"/>
      <c r="D27" s="96"/>
      <c r="E27" s="41"/>
      <c r="F27" s="83"/>
    </row>
    <row r="28" spans="1:6" ht="15" customHeight="1">
      <c r="A28" s="100" t="s">
        <v>1190</v>
      </c>
      <c r="B28" s="101" t="s">
        <v>1191</v>
      </c>
      <c r="C28" s="95"/>
      <c r="D28" s="96"/>
      <c r="E28" s="41"/>
      <c r="F28" s="83"/>
    </row>
    <row r="29" spans="1:6" ht="15" customHeight="1">
      <c r="A29" s="93"/>
      <c r="B29" s="97"/>
      <c r="C29" s="95"/>
      <c r="D29" s="96"/>
      <c r="E29" s="41"/>
      <c r="F29" s="83"/>
    </row>
    <row r="30" spans="1:6" ht="27">
      <c r="A30" s="93" t="s">
        <v>1192</v>
      </c>
      <c r="B30" s="98" t="s">
        <v>1181</v>
      </c>
      <c r="C30" s="95">
        <v>4</v>
      </c>
      <c r="D30" s="96" t="s">
        <v>628</v>
      </c>
      <c r="E30" s="41"/>
      <c r="F30" s="83"/>
    </row>
    <row r="31" spans="1:6">
      <c r="A31" s="93"/>
      <c r="B31" s="98"/>
      <c r="C31" s="95"/>
      <c r="D31" s="96"/>
      <c r="E31" s="41"/>
      <c r="F31" s="83"/>
    </row>
    <row r="32" spans="1:6" ht="15" customHeight="1">
      <c r="A32" s="93" t="s">
        <v>1193</v>
      </c>
      <c r="B32" s="99" t="s">
        <v>1183</v>
      </c>
      <c r="C32" s="95">
        <v>4</v>
      </c>
      <c r="D32" s="96" t="s">
        <v>628</v>
      </c>
      <c r="E32" s="41"/>
      <c r="F32" s="83"/>
    </row>
    <row r="33" spans="1:6" ht="15" customHeight="1">
      <c r="A33" s="93"/>
      <c r="B33" s="99"/>
      <c r="C33" s="95"/>
      <c r="D33" s="96"/>
      <c r="E33" s="41"/>
      <c r="F33" s="83"/>
    </row>
    <row r="34" spans="1:6" ht="15" customHeight="1">
      <c r="A34" s="93" t="s">
        <v>1194</v>
      </c>
      <c r="B34" s="99" t="s">
        <v>1185</v>
      </c>
      <c r="C34" s="95">
        <v>4</v>
      </c>
      <c r="D34" s="96" t="s">
        <v>628</v>
      </c>
      <c r="E34" s="41"/>
      <c r="F34" s="83"/>
    </row>
    <row r="35" spans="1:6" ht="15" customHeight="1">
      <c r="A35" s="93"/>
      <c r="B35" s="99"/>
      <c r="C35" s="95"/>
      <c r="D35" s="96"/>
      <c r="E35" s="41"/>
      <c r="F35" s="83"/>
    </row>
    <row r="36" spans="1:6" ht="15" customHeight="1">
      <c r="A36" s="93" t="s">
        <v>1195</v>
      </c>
      <c r="B36" s="99" t="s">
        <v>1196</v>
      </c>
      <c r="C36" s="95"/>
      <c r="D36" s="96"/>
      <c r="E36" s="41"/>
      <c r="F36" s="83"/>
    </row>
    <row r="37" spans="1:6" ht="15" customHeight="1">
      <c r="A37" s="93"/>
      <c r="B37" s="99"/>
      <c r="C37" s="95"/>
      <c r="D37" s="96"/>
      <c r="E37" s="41"/>
      <c r="F37" s="83"/>
    </row>
    <row r="38" spans="1:6" ht="27">
      <c r="A38" s="100" t="s">
        <v>1197</v>
      </c>
      <c r="B38" s="102" t="s">
        <v>1198</v>
      </c>
      <c r="C38" s="95"/>
      <c r="D38" s="96"/>
      <c r="E38" s="41"/>
      <c r="F38" s="83"/>
    </row>
    <row r="39" spans="1:6" ht="28.5" customHeight="1">
      <c r="A39" s="93"/>
      <c r="B39" s="102" t="s">
        <v>1199</v>
      </c>
      <c r="C39" s="95"/>
      <c r="D39" s="96"/>
      <c r="E39" s="41"/>
      <c r="F39" s="83"/>
    </row>
    <row r="40" spans="1:6" ht="15" customHeight="1">
      <c r="A40" s="93"/>
      <c r="B40" s="99"/>
      <c r="C40" s="95"/>
      <c r="D40" s="96"/>
      <c r="E40" s="41"/>
      <c r="F40" s="83"/>
    </row>
    <row r="41" spans="1:6" ht="15" customHeight="1">
      <c r="A41" s="93" t="s">
        <v>1200</v>
      </c>
      <c r="B41" s="98" t="s">
        <v>1201</v>
      </c>
      <c r="C41" s="95">
        <v>1</v>
      </c>
      <c r="D41" s="96" t="s">
        <v>628</v>
      </c>
      <c r="E41" s="41"/>
      <c r="F41" s="83"/>
    </row>
    <row r="42" spans="1:6" ht="15" customHeight="1">
      <c r="A42" s="93"/>
      <c r="B42" s="99"/>
      <c r="C42" s="95"/>
      <c r="D42" s="96"/>
      <c r="E42" s="41"/>
      <c r="F42" s="83"/>
    </row>
    <row r="43" spans="1:6" ht="15" customHeight="1">
      <c r="A43" s="93"/>
      <c r="B43" s="99"/>
      <c r="C43" s="95"/>
      <c r="D43" s="96"/>
      <c r="E43" s="41"/>
      <c r="F43" s="83"/>
    </row>
    <row r="44" spans="1:6" ht="15" customHeight="1">
      <c r="A44" s="93"/>
      <c r="B44" s="99"/>
      <c r="C44" s="95"/>
      <c r="D44" s="96"/>
      <c r="E44" s="41"/>
      <c r="F44" s="83"/>
    </row>
    <row r="45" spans="1:6" ht="15" customHeight="1">
      <c r="A45" s="93"/>
      <c r="B45" s="99"/>
      <c r="C45" s="95"/>
      <c r="D45" s="96"/>
      <c r="E45" s="41"/>
      <c r="F45" s="83"/>
    </row>
    <row r="46" spans="1:6" ht="15" customHeight="1">
      <c r="A46" s="93"/>
      <c r="B46" s="99"/>
      <c r="C46" s="95"/>
      <c r="D46" s="96"/>
      <c r="E46" s="41"/>
      <c r="F46" s="83"/>
    </row>
    <row r="47" spans="1:6" ht="15" customHeight="1">
      <c r="A47" s="93"/>
      <c r="B47" s="99"/>
      <c r="C47" s="95"/>
      <c r="D47" s="96"/>
      <c r="E47" s="41"/>
      <c r="F47" s="83"/>
    </row>
    <row r="48" spans="1:6" ht="15" customHeight="1">
      <c r="A48" s="103"/>
      <c r="B48" s="104"/>
      <c r="C48" s="105"/>
      <c r="D48" s="106"/>
      <c r="E48" s="47"/>
      <c r="F48" s="107"/>
    </row>
    <row r="49" spans="1:6" ht="26.25" customHeight="1">
      <c r="A49" s="100" t="s">
        <v>1148</v>
      </c>
      <c r="B49" s="108" t="s">
        <v>1202</v>
      </c>
      <c r="C49" s="87"/>
      <c r="D49" s="96"/>
      <c r="E49" s="41"/>
      <c r="F49" s="83"/>
    </row>
    <row r="50" spans="1:6" ht="26.25" customHeight="1">
      <c r="A50" s="93"/>
      <c r="B50" s="90" t="s">
        <v>1203</v>
      </c>
      <c r="C50" s="91"/>
      <c r="D50" s="96"/>
      <c r="E50" s="41"/>
      <c r="F50" s="83"/>
    </row>
    <row r="51" spans="1:6" ht="26.25" customHeight="1">
      <c r="A51" s="93"/>
      <c r="B51" s="90" t="s">
        <v>1204</v>
      </c>
      <c r="C51" s="91"/>
      <c r="D51" s="96"/>
      <c r="E51" s="41"/>
      <c r="F51" s="83"/>
    </row>
    <row r="52" spans="1:6" ht="26.25" customHeight="1">
      <c r="A52" s="93"/>
      <c r="B52" s="94"/>
      <c r="C52" s="95"/>
      <c r="D52" s="96"/>
      <c r="E52" s="41"/>
      <c r="F52" s="83"/>
    </row>
    <row r="53" spans="1:6" ht="15" customHeight="1">
      <c r="A53" s="93" t="s">
        <v>1205</v>
      </c>
      <c r="B53" s="98" t="s">
        <v>1179</v>
      </c>
      <c r="C53" s="95"/>
      <c r="D53" s="96"/>
      <c r="E53" s="41"/>
      <c r="F53" s="83"/>
    </row>
    <row r="54" spans="1:6" ht="15" customHeight="1">
      <c r="A54" s="93"/>
      <c r="B54" s="98"/>
      <c r="C54" s="95"/>
      <c r="D54" s="96"/>
      <c r="E54" s="41"/>
      <c r="F54" s="83"/>
    </row>
    <row r="55" spans="1:6" ht="26.25" customHeight="1">
      <c r="A55" s="93" t="s">
        <v>1206</v>
      </c>
      <c r="B55" s="98" t="s">
        <v>1677</v>
      </c>
      <c r="C55" s="95">
        <v>6</v>
      </c>
      <c r="D55" s="96" t="s">
        <v>628</v>
      </c>
      <c r="E55" s="41"/>
      <c r="F55" s="83"/>
    </row>
    <row r="56" spans="1:6" ht="15" customHeight="1">
      <c r="A56" s="93"/>
      <c r="B56" s="98"/>
      <c r="C56" s="95"/>
      <c r="D56" s="96"/>
      <c r="E56" s="41"/>
      <c r="F56" s="83"/>
    </row>
    <row r="57" spans="1:6" ht="15" customHeight="1">
      <c r="A57" s="93" t="s">
        <v>1207</v>
      </c>
      <c r="B57" s="98" t="s">
        <v>1678</v>
      </c>
      <c r="C57" s="95">
        <v>4</v>
      </c>
      <c r="D57" s="96" t="s">
        <v>628</v>
      </c>
      <c r="E57" s="41"/>
      <c r="F57" s="83"/>
    </row>
    <row r="58" spans="1:6" ht="15" customHeight="1">
      <c r="A58" s="93"/>
      <c r="B58" s="98"/>
      <c r="C58" s="95"/>
      <c r="D58" s="96"/>
      <c r="E58" s="41"/>
      <c r="F58" s="83"/>
    </row>
    <row r="59" spans="1:6" ht="15" customHeight="1">
      <c r="A59" s="93" t="s">
        <v>1208</v>
      </c>
      <c r="B59" s="98" t="s">
        <v>1679</v>
      </c>
      <c r="C59" s="95">
        <v>6</v>
      </c>
      <c r="D59" s="96" t="s">
        <v>628</v>
      </c>
      <c r="E59" s="41"/>
      <c r="F59" s="83"/>
    </row>
    <row r="60" spans="1:6" ht="15" customHeight="1">
      <c r="A60" s="93"/>
      <c r="B60" s="98"/>
      <c r="C60" s="95"/>
      <c r="D60" s="96"/>
      <c r="E60" s="41"/>
      <c r="F60" s="83"/>
    </row>
    <row r="61" spans="1:6" ht="15" customHeight="1">
      <c r="A61" s="93" t="s">
        <v>1209</v>
      </c>
      <c r="B61" s="98" t="s">
        <v>1680</v>
      </c>
      <c r="C61" s="95">
        <v>6</v>
      </c>
      <c r="D61" s="96" t="s">
        <v>628</v>
      </c>
      <c r="E61" s="41"/>
      <c r="F61" s="83"/>
    </row>
    <row r="62" spans="1:6" ht="15" customHeight="1">
      <c r="A62" s="93"/>
      <c r="B62" s="98"/>
      <c r="C62" s="95"/>
      <c r="D62" s="96"/>
      <c r="E62" s="41"/>
      <c r="F62" s="83"/>
    </row>
    <row r="63" spans="1:6" ht="15" customHeight="1">
      <c r="A63" s="93" t="s">
        <v>1210</v>
      </c>
      <c r="B63" s="98" t="s">
        <v>1196</v>
      </c>
      <c r="C63" s="95"/>
      <c r="D63" s="96"/>
      <c r="E63" s="41"/>
      <c r="F63" s="83"/>
    </row>
    <row r="64" spans="1:6" ht="15" customHeight="1">
      <c r="A64" s="93"/>
      <c r="B64" s="98"/>
      <c r="C64" s="95"/>
      <c r="D64" s="96"/>
      <c r="E64" s="41"/>
      <c r="F64" s="83"/>
    </row>
    <row r="65" spans="1:6" ht="15" customHeight="1">
      <c r="A65" s="100" t="s">
        <v>1211</v>
      </c>
      <c r="B65" s="109" t="s">
        <v>1191</v>
      </c>
      <c r="C65" s="95"/>
      <c r="D65" s="96"/>
      <c r="E65" s="41"/>
      <c r="F65" s="83"/>
    </row>
    <row r="66" spans="1:6" ht="15" customHeight="1">
      <c r="A66" s="100"/>
      <c r="B66" s="109"/>
      <c r="C66" s="95"/>
      <c r="D66" s="96"/>
      <c r="E66" s="41"/>
      <c r="F66" s="83"/>
    </row>
    <row r="67" spans="1:6" ht="26.25" customHeight="1">
      <c r="A67" s="93" t="s">
        <v>1212</v>
      </c>
      <c r="B67" s="98" t="s">
        <v>1677</v>
      </c>
      <c r="C67" s="95">
        <v>8</v>
      </c>
      <c r="D67" s="96" t="s">
        <v>628</v>
      </c>
      <c r="E67" s="41"/>
      <c r="F67" s="83"/>
    </row>
    <row r="68" spans="1:6" ht="15" customHeight="1">
      <c r="A68" s="100"/>
      <c r="B68" s="109"/>
      <c r="C68" s="95"/>
      <c r="D68" s="96"/>
      <c r="E68" s="41"/>
      <c r="F68" s="83"/>
    </row>
    <row r="69" spans="1:6" ht="26.25" customHeight="1">
      <c r="A69" s="93" t="s">
        <v>1213</v>
      </c>
      <c r="B69" s="99" t="s">
        <v>1678</v>
      </c>
      <c r="C69" s="95">
        <v>8</v>
      </c>
      <c r="D69" s="96" t="s">
        <v>628</v>
      </c>
      <c r="E69" s="41"/>
      <c r="F69" s="83"/>
    </row>
    <row r="70" spans="1:6" ht="15" customHeight="1">
      <c r="A70" s="100"/>
      <c r="B70" s="109"/>
      <c r="C70" s="95"/>
      <c r="D70" s="96"/>
      <c r="E70" s="41"/>
      <c r="F70" s="83"/>
    </row>
    <row r="71" spans="1:6" ht="26.25" customHeight="1">
      <c r="A71" s="93" t="s">
        <v>1214</v>
      </c>
      <c r="B71" s="99" t="s">
        <v>1679</v>
      </c>
      <c r="C71" s="95">
        <v>8</v>
      </c>
      <c r="D71" s="96" t="s">
        <v>628</v>
      </c>
      <c r="E71" s="41"/>
      <c r="F71" s="83"/>
    </row>
    <row r="72" spans="1:6" ht="15" customHeight="1">
      <c r="A72" s="100"/>
      <c r="B72" s="109"/>
      <c r="C72" s="95"/>
      <c r="D72" s="96"/>
      <c r="E72" s="41"/>
      <c r="F72" s="83"/>
    </row>
    <row r="73" spans="1:6" ht="26.25" customHeight="1">
      <c r="A73" s="93" t="s">
        <v>1215</v>
      </c>
      <c r="B73" s="99" t="s">
        <v>1196</v>
      </c>
      <c r="C73" s="95"/>
      <c r="D73" s="96"/>
      <c r="E73" s="41"/>
      <c r="F73" s="83"/>
    </row>
    <row r="74" spans="1:6" ht="15" customHeight="1">
      <c r="A74" s="93"/>
      <c r="B74" s="99"/>
      <c r="C74" s="95"/>
      <c r="D74" s="96"/>
      <c r="E74" s="41"/>
      <c r="F74" s="83"/>
    </row>
    <row r="75" spans="1:6" ht="26.25" customHeight="1">
      <c r="A75" s="100" t="s">
        <v>1216</v>
      </c>
      <c r="B75" s="102" t="s">
        <v>1217</v>
      </c>
      <c r="C75" s="95"/>
      <c r="D75" s="96"/>
      <c r="E75" s="41"/>
      <c r="F75" s="83"/>
    </row>
    <row r="76" spans="1:6" ht="26.25" customHeight="1">
      <c r="A76" s="100"/>
      <c r="B76" s="102" t="s">
        <v>1218</v>
      </c>
      <c r="C76" s="95"/>
      <c r="D76" s="96"/>
      <c r="E76" s="41"/>
      <c r="F76" s="83"/>
    </row>
    <row r="77" spans="1:6" ht="15" customHeight="1">
      <c r="A77" s="93"/>
      <c r="B77" s="99"/>
      <c r="C77" s="95"/>
      <c r="D77" s="96"/>
      <c r="E77" s="41"/>
      <c r="F77" s="83"/>
    </row>
    <row r="78" spans="1:6" ht="26.25" customHeight="1">
      <c r="A78" s="93" t="s">
        <v>1219</v>
      </c>
      <c r="B78" s="98" t="s">
        <v>1201</v>
      </c>
      <c r="C78" s="95">
        <v>1</v>
      </c>
      <c r="D78" s="96" t="s">
        <v>628</v>
      </c>
      <c r="E78" s="41"/>
      <c r="F78" s="83"/>
    </row>
    <row r="79" spans="1:6" ht="15" customHeight="1">
      <c r="A79" s="93"/>
      <c r="B79" s="99"/>
      <c r="C79" s="95"/>
      <c r="D79" s="96"/>
      <c r="E79" s="41"/>
      <c r="F79" s="83"/>
    </row>
    <row r="80" spans="1:6" ht="26.25" customHeight="1">
      <c r="A80" s="93" t="s">
        <v>1220</v>
      </c>
      <c r="B80" s="99" t="s">
        <v>1221</v>
      </c>
      <c r="C80" s="95">
        <v>1</v>
      </c>
      <c r="D80" s="96" t="s">
        <v>628</v>
      </c>
      <c r="E80" s="41"/>
      <c r="F80" s="83"/>
    </row>
    <row r="81" spans="1:6" ht="15" customHeight="1">
      <c r="A81" s="93"/>
      <c r="B81" s="99"/>
      <c r="C81" s="95"/>
      <c r="D81" s="96"/>
      <c r="E81" s="41"/>
      <c r="F81" s="83"/>
    </row>
    <row r="82" spans="1:6" ht="26.25" customHeight="1">
      <c r="A82" s="100" t="s">
        <v>1222</v>
      </c>
      <c r="B82" s="102" t="s">
        <v>1223</v>
      </c>
      <c r="C82" s="95"/>
      <c r="D82" s="96"/>
      <c r="E82" s="41"/>
      <c r="F82" s="83"/>
    </row>
    <row r="83" spans="1:6" ht="26.25" customHeight="1">
      <c r="A83" s="100"/>
      <c r="B83" s="102" t="s">
        <v>1224</v>
      </c>
      <c r="C83" s="95"/>
      <c r="D83" s="96"/>
      <c r="E83" s="41"/>
      <c r="F83" s="83"/>
    </row>
    <row r="84" spans="1:6" ht="15" customHeight="1">
      <c r="A84" s="93"/>
      <c r="B84" s="99"/>
      <c r="C84" s="95"/>
      <c r="D84" s="96"/>
      <c r="E84" s="41"/>
      <c r="F84" s="83"/>
    </row>
    <row r="85" spans="1:6" ht="15" customHeight="1">
      <c r="A85" s="93" t="s">
        <v>1225</v>
      </c>
      <c r="B85" s="98" t="s">
        <v>1226</v>
      </c>
      <c r="C85" s="95">
        <v>1</v>
      </c>
      <c r="D85" s="96" t="s">
        <v>628</v>
      </c>
      <c r="E85" s="41"/>
      <c r="F85" s="83"/>
    </row>
    <row r="86" spans="1:6" ht="15" customHeight="1">
      <c r="A86" s="93"/>
      <c r="B86" s="98"/>
      <c r="C86" s="95"/>
      <c r="D86" s="96"/>
      <c r="E86" s="41"/>
      <c r="F86" s="83"/>
    </row>
    <row r="87" spans="1:6" ht="15" customHeight="1">
      <c r="A87" s="93" t="s">
        <v>1227</v>
      </c>
      <c r="B87" s="99" t="s">
        <v>1228</v>
      </c>
      <c r="C87" s="95">
        <v>1</v>
      </c>
      <c r="D87" s="96" t="s">
        <v>628</v>
      </c>
      <c r="E87" s="41"/>
      <c r="F87" s="83"/>
    </row>
    <row r="88" spans="1:6" ht="15" customHeight="1">
      <c r="A88" s="54"/>
      <c r="B88" s="55"/>
      <c r="C88" s="56"/>
      <c r="D88" s="57"/>
      <c r="E88" s="58"/>
      <c r="F88" s="110"/>
    </row>
    <row r="89" spans="1:6" ht="22.7" customHeight="1">
      <c r="A89" s="470" t="s">
        <v>1229</v>
      </c>
      <c r="B89" s="478"/>
      <c r="C89" s="479"/>
      <c r="D89" s="478"/>
      <c r="E89" s="479"/>
      <c r="F89" s="111">
        <f>SUM(F9:F88)</f>
        <v>0</v>
      </c>
    </row>
  </sheetData>
  <mergeCells count="1">
    <mergeCell ref="A89:E89"/>
  </mergeCells>
  <phoneticPr fontId="34" type="noConversion"/>
  <printOptions horizontalCentered="1"/>
  <pageMargins left="0.55118110236220497" right="0.35433070866141703" top="0.98425196850393704" bottom="0.98425196850393704" header="0.511811023622047" footer="0.511811023622047"/>
  <pageSetup paperSize="9" scale="81" orientation="portrait" r:id="rId1"/>
  <headerFooter>
    <oddFooter>&amp;R&amp;"宋体,常规"BQ-K-P.&amp;P/&amp;N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0"/>
  <sheetViews>
    <sheetView showZeros="0" view="pageBreakPreview" topLeftCell="A97" zoomScaleNormal="85" workbookViewId="0">
      <selection activeCell="B14" sqref="B14"/>
    </sheetView>
  </sheetViews>
  <sheetFormatPr defaultColWidth="9.33203125" defaultRowHeight="13.5"/>
  <cols>
    <col min="1" max="1" width="8.83203125" style="1" customWidth="1"/>
    <col min="2" max="2" width="71.1640625" style="2" customWidth="1"/>
    <col min="3" max="3" width="9.5" style="3" customWidth="1"/>
    <col min="4" max="4" width="8" style="3" customWidth="1"/>
    <col min="5" max="5" width="13" style="4" customWidth="1"/>
    <col min="6" max="6" width="18.6640625" style="5" customWidth="1"/>
    <col min="7" max="16384" width="9.33203125" style="2"/>
  </cols>
  <sheetData>
    <row r="1" spans="1:7" ht="20.100000000000001" customHeight="1">
      <c r="A1" s="6"/>
      <c r="B1" s="7"/>
      <c r="C1" s="2"/>
      <c r="E1" s="2"/>
      <c r="F1" s="8" t="s">
        <v>0</v>
      </c>
    </row>
    <row r="2" spans="1:7" ht="20.100000000000001" customHeight="1">
      <c r="A2" s="6"/>
      <c r="B2" s="7"/>
      <c r="C2" s="2"/>
      <c r="E2" s="2"/>
      <c r="F2" s="8" t="s">
        <v>1</v>
      </c>
    </row>
    <row r="3" spans="1:7" ht="20.100000000000001" customHeight="1">
      <c r="A3" s="9"/>
      <c r="B3" s="10"/>
      <c r="C3" s="11"/>
      <c r="D3" s="12"/>
      <c r="E3" s="11"/>
      <c r="F3" s="13" t="s">
        <v>2</v>
      </c>
    </row>
    <row r="4" spans="1:7" ht="20.100000000000001" customHeight="1">
      <c r="A4" s="14" t="s">
        <v>6</v>
      </c>
      <c r="B4" s="15"/>
      <c r="C4" s="15"/>
      <c r="D4" s="16"/>
      <c r="E4" s="2"/>
      <c r="F4" s="17"/>
    </row>
    <row r="5" spans="1:7" ht="8.25" customHeight="1">
      <c r="A5" s="18"/>
      <c r="B5" s="15"/>
      <c r="C5" s="15"/>
      <c r="D5" s="19"/>
      <c r="E5" s="2"/>
      <c r="F5" s="20"/>
      <c r="G5" s="21"/>
    </row>
    <row r="6" spans="1:7" ht="20.100000000000001" customHeight="1">
      <c r="A6" s="18" t="s">
        <v>1230</v>
      </c>
      <c r="B6" s="15"/>
      <c r="C6" s="19"/>
    </row>
    <row r="7" spans="1:7" ht="33" customHeight="1">
      <c r="A7" s="22" t="s">
        <v>166</v>
      </c>
      <c r="B7" s="23" t="s">
        <v>141</v>
      </c>
      <c r="C7" s="22" t="s">
        <v>142</v>
      </c>
      <c r="D7" s="22" t="s">
        <v>143</v>
      </c>
      <c r="E7" s="24" t="s">
        <v>144</v>
      </c>
      <c r="F7" s="25" t="s">
        <v>145</v>
      </c>
    </row>
    <row r="8" spans="1:7" ht="27" customHeight="1">
      <c r="A8" s="26"/>
      <c r="B8" s="27" t="s">
        <v>146</v>
      </c>
      <c r="C8" s="28"/>
      <c r="D8" s="28"/>
      <c r="E8" s="29"/>
      <c r="F8" s="30"/>
    </row>
    <row r="9" spans="1:7" ht="78.75" customHeight="1">
      <c r="A9" s="31" t="s">
        <v>171</v>
      </c>
      <c r="B9" s="32" t="s">
        <v>1231</v>
      </c>
      <c r="C9" s="33"/>
      <c r="D9" s="33"/>
      <c r="E9" s="34"/>
      <c r="F9" s="35"/>
    </row>
    <row r="10" spans="1:7" ht="66.75" customHeight="1">
      <c r="A10" s="31" t="s">
        <v>171</v>
      </c>
      <c r="B10" s="36" t="s">
        <v>149</v>
      </c>
      <c r="C10" s="33"/>
      <c r="D10" s="33"/>
      <c r="E10" s="34"/>
      <c r="F10" s="35"/>
    </row>
    <row r="11" spans="1:7" ht="15" customHeight="1">
      <c r="A11" s="37"/>
      <c r="B11" s="32"/>
      <c r="C11" s="33"/>
      <c r="D11" s="33"/>
      <c r="E11" s="34"/>
      <c r="F11" s="35"/>
    </row>
    <row r="12" spans="1:7" ht="15" customHeight="1">
      <c r="A12" s="38" t="s">
        <v>1232</v>
      </c>
      <c r="B12" s="39" t="s">
        <v>1233</v>
      </c>
      <c r="C12" s="40"/>
      <c r="D12" s="40"/>
      <c r="E12" s="41"/>
      <c r="F12" s="35"/>
    </row>
    <row r="13" spans="1:7" ht="15" customHeight="1">
      <c r="A13" s="37"/>
      <c r="B13" s="32"/>
      <c r="C13" s="40"/>
      <c r="D13" s="40"/>
      <c r="E13" s="41"/>
      <c r="F13" s="35"/>
    </row>
    <row r="14" spans="1:7" ht="15" customHeight="1">
      <c r="A14" s="37" t="s">
        <v>1234</v>
      </c>
      <c r="B14" s="42" t="s">
        <v>1235</v>
      </c>
      <c r="C14" s="40">
        <v>1</v>
      </c>
      <c r="D14" s="43" t="s">
        <v>1021</v>
      </c>
      <c r="E14" s="41"/>
      <c r="F14" s="35"/>
    </row>
    <row r="15" spans="1:7" ht="15" customHeight="1">
      <c r="A15" s="37"/>
      <c r="B15" s="32"/>
      <c r="C15" s="40"/>
      <c r="D15" s="40"/>
      <c r="E15" s="41"/>
      <c r="F15" s="35">
        <f>C15*E15</f>
        <v>0</v>
      </c>
    </row>
    <row r="16" spans="1:7" ht="15" customHeight="1">
      <c r="A16" s="37" t="s">
        <v>1236</v>
      </c>
      <c r="B16" s="32" t="s">
        <v>1237</v>
      </c>
      <c r="C16" s="40">
        <v>218</v>
      </c>
      <c r="D16" s="40" t="s">
        <v>628</v>
      </c>
      <c r="E16" s="41"/>
      <c r="F16" s="35"/>
    </row>
    <row r="17" spans="1:6" ht="15" customHeight="1">
      <c r="A17" s="37"/>
      <c r="B17" s="32"/>
      <c r="C17" s="40"/>
      <c r="D17" s="40"/>
      <c r="E17" s="41"/>
      <c r="F17" s="35"/>
    </row>
    <row r="18" spans="1:6" ht="15" customHeight="1">
      <c r="A18" s="37" t="s">
        <v>1238</v>
      </c>
      <c r="B18" s="32" t="s">
        <v>1239</v>
      </c>
      <c r="C18" s="40">
        <v>1</v>
      </c>
      <c r="D18" s="40" t="s">
        <v>628</v>
      </c>
      <c r="E18" s="41"/>
      <c r="F18" s="35">
        <f>C18*E18</f>
        <v>0</v>
      </c>
    </row>
    <row r="19" spans="1:6" ht="15" customHeight="1">
      <c r="A19" s="37"/>
      <c r="B19" s="32"/>
      <c r="C19" s="40"/>
      <c r="D19" s="40"/>
      <c r="E19" s="41"/>
      <c r="F19" s="35"/>
    </row>
    <row r="20" spans="1:6" ht="15" customHeight="1">
      <c r="A20" s="37" t="s">
        <v>1240</v>
      </c>
      <c r="B20" s="32" t="s">
        <v>1241</v>
      </c>
      <c r="C20" s="40"/>
      <c r="D20" s="40"/>
      <c r="E20" s="41"/>
      <c r="F20" s="35"/>
    </row>
    <row r="21" spans="1:6" ht="15" customHeight="1">
      <c r="A21" s="37"/>
      <c r="B21" s="32" t="s">
        <v>1242</v>
      </c>
      <c r="C21" s="40">
        <v>260</v>
      </c>
      <c r="D21" s="40" t="s">
        <v>411</v>
      </c>
      <c r="E21" s="41"/>
      <c r="F21" s="35">
        <f>C21*E21</f>
        <v>0</v>
      </c>
    </row>
    <row r="22" spans="1:6" ht="15" customHeight="1">
      <c r="A22" s="37"/>
      <c r="B22" s="32" t="s">
        <v>1243</v>
      </c>
      <c r="C22" s="40">
        <v>484</v>
      </c>
      <c r="D22" s="40" t="s">
        <v>411</v>
      </c>
      <c r="E22" s="41"/>
      <c r="F22" s="35"/>
    </row>
    <row r="23" spans="1:6" ht="15" customHeight="1">
      <c r="A23" s="37"/>
      <c r="B23" s="32" t="s">
        <v>1244</v>
      </c>
      <c r="C23" s="40">
        <v>192</v>
      </c>
      <c r="D23" s="40" t="s">
        <v>411</v>
      </c>
      <c r="E23" s="41"/>
      <c r="F23" s="35"/>
    </row>
    <row r="24" spans="1:6" ht="15" customHeight="1">
      <c r="A24" s="37"/>
      <c r="B24" s="32" t="s">
        <v>1245</v>
      </c>
      <c r="C24" s="40">
        <v>32</v>
      </c>
      <c r="D24" s="40" t="s">
        <v>411</v>
      </c>
      <c r="E24" s="41"/>
      <c r="F24" s="35">
        <f>C24*E24</f>
        <v>0</v>
      </c>
    </row>
    <row r="25" spans="1:6" ht="15" customHeight="1">
      <c r="A25" s="37"/>
      <c r="B25" s="32" t="s">
        <v>1246</v>
      </c>
      <c r="C25" s="40">
        <v>22</v>
      </c>
      <c r="D25" s="40" t="s">
        <v>411</v>
      </c>
      <c r="E25" s="41"/>
      <c r="F25" s="35"/>
    </row>
    <row r="26" spans="1:6" ht="15" customHeight="1">
      <c r="A26" s="37"/>
      <c r="B26" s="32" t="s">
        <v>1247</v>
      </c>
      <c r="C26" s="40">
        <v>106</v>
      </c>
      <c r="D26" s="40" t="s">
        <v>411</v>
      </c>
      <c r="E26" s="41"/>
      <c r="F26" s="35"/>
    </row>
    <row r="27" spans="1:6" ht="15" customHeight="1">
      <c r="A27" s="37"/>
      <c r="B27" s="32" t="s">
        <v>1248</v>
      </c>
      <c r="C27" s="40">
        <v>6</v>
      </c>
      <c r="D27" s="40" t="s">
        <v>411</v>
      </c>
      <c r="E27" s="41"/>
      <c r="F27" s="35">
        <f>C27*E27</f>
        <v>0</v>
      </c>
    </row>
    <row r="28" spans="1:6" ht="15" customHeight="1">
      <c r="A28" s="37"/>
      <c r="B28" s="32"/>
      <c r="C28" s="40"/>
      <c r="D28" s="40"/>
      <c r="E28" s="41"/>
      <c r="F28" s="35"/>
    </row>
    <row r="29" spans="1:6" ht="15" customHeight="1">
      <c r="A29" s="37" t="s">
        <v>1249</v>
      </c>
      <c r="B29" s="32" t="s">
        <v>1250</v>
      </c>
      <c r="C29" s="40">
        <v>1</v>
      </c>
      <c r="D29" s="40" t="s">
        <v>1021</v>
      </c>
      <c r="E29" s="41"/>
      <c r="F29" s="35"/>
    </row>
    <row r="30" spans="1:6" ht="15" customHeight="1">
      <c r="A30" s="37"/>
      <c r="B30" s="32"/>
      <c r="C30" s="40"/>
      <c r="D30" s="40"/>
      <c r="E30" s="41"/>
      <c r="F30" s="35"/>
    </row>
    <row r="31" spans="1:6" ht="15" customHeight="1">
      <c r="A31" s="37" t="s">
        <v>1251</v>
      </c>
      <c r="B31" s="32" t="s">
        <v>1252</v>
      </c>
      <c r="C31" s="40">
        <v>1</v>
      </c>
      <c r="D31" s="40" t="s">
        <v>1021</v>
      </c>
      <c r="E31" s="41"/>
      <c r="F31" s="35"/>
    </row>
    <row r="32" spans="1:6" ht="15" customHeight="1">
      <c r="A32" s="37"/>
      <c r="B32" s="32"/>
      <c r="C32" s="40"/>
      <c r="D32" s="40"/>
      <c r="E32" s="41"/>
      <c r="F32" s="35">
        <f>C32*E32</f>
        <v>0</v>
      </c>
    </row>
    <row r="33" spans="1:6" ht="15" customHeight="1">
      <c r="A33" s="37" t="s">
        <v>1253</v>
      </c>
      <c r="B33" s="32" t="s">
        <v>1254</v>
      </c>
      <c r="C33" s="40">
        <v>67</v>
      </c>
      <c r="D33" s="40" t="s">
        <v>1015</v>
      </c>
      <c r="E33" s="41"/>
      <c r="F33" s="35"/>
    </row>
    <row r="34" spans="1:6" ht="15" customHeight="1">
      <c r="A34" s="37"/>
      <c r="B34" s="32"/>
      <c r="C34" s="40"/>
      <c r="D34" s="40"/>
      <c r="E34" s="41"/>
      <c r="F34" s="35"/>
    </row>
    <row r="35" spans="1:6" ht="15" customHeight="1">
      <c r="A35" s="37" t="s">
        <v>1255</v>
      </c>
      <c r="B35" s="32" t="s">
        <v>1256</v>
      </c>
      <c r="C35" s="40">
        <v>1</v>
      </c>
      <c r="D35" s="40" t="s">
        <v>1015</v>
      </c>
      <c r="E35" s="41"/>
      <c r="F35" s="35">
        <f>C35*E35</f>
        <v>0</v>
      </c>
    </row>
    <row r="36" spans="1:6" ht="15" customHeight="1">
      <c r="A36" s="37"/>
      <c r="B36" s="32"/>
      <c r="C36" s="40"/>
      <c r="D36" s="40"/>
      <c r="E36" s="41"/>
      <c r="F36" s="35"/>
    </row>
    <row r="37" spans="1:6" ht="15" customHeight="1">
      <c r="A37" s="37" t="s">
        <v>1257</v>
      </c>
      <c r="B37" s="32" t="s">
        <v>1258</v>
      </c>
      <c r="C37" s="40">
        <v>7</v>
      </c>
      <c r="D37" s="40" t="s">
        <v>1015</v>
      </c>
      <c r="E37" s="41"/>
      <c r="F37" s="35"/>
    </row>
    <row r="38" spans="1:6" ht="15" customHeight="1">
      <c r="A38" s="37"/>
      <c r="B38" s="32"/>
      <c r="C38" s="40"/>
      <c r="D38" s="40"/>
      <c r="E38" s="41"/>
      <c r="F38" s="35"/>
    </row>
    <row r="39" spans="1:6" ht="15" customHeight="1">
      <c r="A39" s="37" t="s">
        <v>1259</v>
      </c>
      <c r="B39" s="32" t="s">
        <v>1260</v>
      </c>
      <c r="C39" s="40">
        <v>5</v>
      </c>
      <c r="D39" s="40" t="s">
        <v>1015</v>
      </c>
      <c r="E39" s="41"/>
      <c r="F39" s="35"/>
    </row>
    <row r="40" spans="1:6" ht="15" customHeight="1">
      <c r="A40" s="37"/>
      <c r="B40" s="32"/>
      <c r="C40" s="40"/>
      <c r="D40" s="40"/>
      <c r="E40" s="41"/>
      <c r="F40" s="35">
        <f>C40*E40</f>
        <v>0</v>
      </c>
    </row>
    <row r="41" spans="1:6" ht="15" customHeight="1">
      <c r="A41" s="37" t="s">
        <v>1261</v>
      </c>
      <c r="B41" s="32" t="s">
        <v>1262</v>
      </c>
      <c r="C41" s="40">
        <v>1</v>
      </c>
      <c r="D41" s="40" t="s">
        <v>1021</v>
      </c>
      <c r="E41" s="41"/>
      <c r="F41" s="35"/>
    </row>
    <row r="42" spans="1:6" ht="15" customHeight="1">
      <c r="A42" s="37"/>
      <c r="B42" s="32"/>
      <c r="C42" s="40"/>
      <c r="D42" s="40"/>
      <c r="E42" s="41"/>
      <c r="F42" s="35"/>
    </row>
    <row r="43" spans="1:6" ht="15" customHeight="1">
      <c r="A43" s="37" t="s">
        <v>1263</v>
      </c>
      <c r="B43" s="32" t="s">
        <v>1264</v>
      </c>
      <c r="C43" s="40">
        <v>1</v>
      </c>
      <c r="D43" s="40" t="s">
        <v>1021</v>
      </c>
      <c r="E43" s="41"/>
      <c r="F43" s="35">
        <f>C43*E43</f>
        <v>0</v>
      </c>
    </row>
    <row r="44" spans="1:6" ht="15" customHeight="1">
      <c r="A44" s="37"/>
      <c r="B44" s="32"/>
      <c r="C44" s="40"/>
      <c r="D44" s="40"/>
      <c r="E44" s="41"/>
      <c r="F44" s="35"/>
    </row>
    <row r="45" spans="1:6" ht="15" customHeight="1">
      <c r="A45" s="37" t="s">
        <v>1265</v>
      </c>
      <c r="B45" s="32" t="s">
        <v>1266</v>
      </c>
      <c r="C45" s="40">
        <v>1</v>
      </c>
      <c r="D45" s="40" t="s">
        <v>1021</v>
      </c>
      <c r="E45" s="41"/>
      <c r="F45" s="35"/>
    </row>
    <row r="46" spans="1:6" ht="15" customHeight="1">
      <c r="A46" s="44"/>
      <c r="B46" s="45"/>
      <c r="C46" s="46"/>
      <c r="D46" s="46"/>
      <c r="E46" s="47"/>
      <c r="F46" s="48"/>
    </row>
    <row r="47" spans="1:6" ht="31.5" customHeight="1">
      <c r="A47" s="37" t="s">
        <v>1267</v>
      </c>
      <c r="B47" s="32" t="s">
        <v>1268</v>
      </c>
      <c r="C47" s="40">
        <v>1</v>
      </c>
      <c r="D47" s="40" t="s">
        <v>1021</v>
      </c>
      <c r="E47" s="41"/>
      <c r="F47" s="35"/>
    </row>
    <row r="48" spans="1:6" ht="15" customHeight="1">
      <c r="A48" s="37"/>
      <c r="B48" s="32"/>
      <c r="C48" s="40"/>
      <c r="D48" s="40"/>
      <c r="E48" s="41"/>
      <c r="F48" s="35">
        <f t="shared" ref="F48:F59" si="0">C48*E48</f>
        <v>0</v>
      </c>
    </row>
    <row r="49" spans="1:6" ht="15" customHeight="1">
      <c r="A49" s="37" t="s">
        <v>1269</v>
      </c>
      <c r="B49" s="32" t="s">
        <v>1270</v>
      </c>
      <c r="C49" s="40">
        <v>11</v>
      </c>
      <c r="D49" s="40" t="s">
        <v>1271</v>
      </c>
      <c r="E49" s="41"/>
      <c r="F49" s="35">
        <f t="shared" si="0"/>
        <v>0</v>
      </c>
    </row>
    <row r="50" spans="1:6" ht="15" customHeight="1">
      <c r="A50" s="37"/>
      <c r="B50" s="32"/>
      <c r="C50" s="40"/>
      <c r="D50" s="40"/>
      <c r="E50" s="41"/>
      <c r="F50" s="35">
        <f t="shared" si="0"/>
        <v>0</v>
      </c>
    </row>
    <row r="51" spans="1:6" ht="15" customHeight="1">
      <c r="A51" s="37" t="s">
        <v>1272</v>
      </c>
      <c r="B51" s="32" t="s">
        <v>1273</v>
      </c>
      <c r="C51" s="40">
        <v>3</v>
      </c>
      <c r="D51" s="40" t="s">
        <v>1271</v>
      </c>
      <c r="E51" s="41"/>
      <c r="F51" s="35">
        <f t="shared" si="0"/>
        <v>0</v>
      </c>
    </row>
    <row r="52" spans="1:6" ht="15" customHeight="1">
      <c r="A52" s="37"/>
      <c r="B52" s="32"/>
      <c r="C52" s="40"/>
      <c r="D52" s="40"/>
      <c r="E52" s="41"/>
      <c r="F52" s="35">
        <f t="shared" si="0"/>
        <v>0</v>
      </c>
    </row>
    <row r="53" spans="1:6" ht="15" customHeight="1">
      <c r="A53" s="37" t="s">
        <v>1274</v>
      </c>
      <c r="B53" s="32" t="s">
        <v>1275</v>
      </c>
      <c r="C53" s="40">
        <v>1</v>
      </c>
      <c r="D53" s="40" t="s">
        <v>1021</v>
      </c>
      <c r="E53" s="41"/>
      <c r="F53" s="35">
        <f t="shared" si="0"/>
        <v>0</v>
      </c>
    </row>
    <row r="54" spans="1:6" ht="15" customHeight="1">
      <c r="A54" s="37"/>
      <c r="B54" s="32"/>
      <c r="C54" s="40"/>
      <c r="D54" s="40"/>
      <c r="E54" s="41"/>
      <c r="F54" s="35">
        <f t="shared" si="0"/>
        <v>0</v>
      </c>
    </row>
    <row r="55" spans="1:6" ht="15" customHeight="1">
      <c r="A55" s="37" t="s">
        <v>1276</v>
      </c>
      <c r="B55" s="32" t="s">
        <v>1277</v>
      </c>
      <c r="C55" s="40">
        <v>2</v>
      </c>
      <c r="D55" s="40" t="s">
        <v>1021</v>
      </c>
      <c r="E55" s="41"/>
      <c r="F55" s="35">
        <f t="shared" si="0"/>
        <v>0</v>
      </c>
    </row>
    <row r="56" spans="1:6" ht="15" customHeight="1">
      <c r="A56" s="37"/>
      <c r="B56" s="32"/>
      <c r="C56" s="40"/>
      <c r="D56" s="40"/>
      <c r="E56" s="41"/>
      <c r="F56" s="35">
        <f t="shared" si="0"/>
        <v>0</v>
      </c>
    </row>
    <row r="57" spans="1:6" ht="15" customHeight="1">
      <c r="A57" s="37" t="s">
        <v>1278</v>
      </c>
      <c r="B57" s="32" t="s">
        <v>1279</v>
      </c>
      <c r="C57" s="40">
        <v>1</v>
      </c>
      <c r="D57" s="40" t="s">
        <v>1021</v>
      </c>
      <c r="E57" s="41"/>
      <c r="F57" s="35">
        <f t="shared" si="0"/>
        <v>0</v>
      </c>
    </row>
    <row r="58" spans="1:6" ht="15" customHeight="1">
      <c r="A58" s="37"/>
      <c r="B58" s="32"/>
      <c r="C58" s="40"/>
      <c r="D58" s="40"/>
      <c r="E58" s="41"/>
      <c r="F58" s="35">
        <f t="shared" si="0"/>
        <v>0</v>
      </c>
    </row>
    <row r="59" spans="1:6" ht="15" customHeight="1">
      <c r="A59" s="37" t="s">
        <v>1280</v>
      </c>
      <c r="B59" s="32" t="s">
        <v>1281</v>
      </c>
      <c r="C59" s="40">
        <v>2</v>
      </c>
      <c r="D59" s="40" t="s">
        <v>628</v>
      </c>
      <c r="E59" s="41"/>
      <c r="F59" s="35">
        <f t="shared" si="0"/>
        <v>0</v>
      </c>
    </row>
    <row r="60" spans="1:6" ht="15" customHeight="1">
      <c r="A60" s="37"/>
      <c r="B60" s="32"/>
      <c r="C60" s="40"/>
      <c r="D60" s="40"/>
      <c r="E60" s="41"/>
      <c r="F60" s="35"/>
    </row>
    <row r="61" spans="1:6" ht="15" customHeight="1">
      <c r="A61" s="37" t="s">
        <v>1282</v>
      </c>
      <c r="B61" s="32" t="s">
        <v>1283</v>
      </c>
      <c r="C61" s="40">
        <v>1</v>
      </c>
      <c r="D61" s="40" t="s">
        <v>628</v>
      </c>
      <c r="E61" s="41"/>
      <c r="F61" s="35"/>
    </row>
    <row r="62" spans="1:6" ht="15" customHeight="1">
      <c r="A62" s="37"/>
      <c r="B62" s="32"/>
      <c r="C62" s="40"/>
      <c r="D62" s="40"/>
      <c r="E62" s="41"/>
      <c r="F62" s="35">
        <f>C62*E62</f>
        <v>0</v>
      </c>
    </row>
    <row r="63" spans="1:6" ht="15" customHeight="1">
      <c r="A63" s="37" t="s">
        <v>1284</v>
      </c>
      <c r="B63" s="32" t="s">
        <v>1285</v>
      </c>
      <c r="C63" s="40">
        <v>1</v>
      </c>
      <c r="D63" s="40" t="s">
        <v>1021</v>
      </c>
      <c r="E63" s="41"/>
      <c r="F63" s="35"/>
    </row>
    <row r="64" spans="1:6" ht="15" customHeight="1">
      <c r="A64" s="37"/>
      <c r="B64" s="32"/>
      <c r="C64" s="40"/>
      <c r="D64" s="40"/>
      <c r="E64" s="41"/>
      <c r="F64" s="35">
        <f>C64*E64</f>
        <v>0</v>
      </c>
    </row>
    <row r="65" spans="1:6" ht="15" customHeight="1">
      <c r="A65" s="38" t="s">
        <v>1286</v>
      </c>
      <c r="B65" s="49" t="s">
        <v>1287</v>
      </c>
      <c r="C65" s="40"/>
      <c r="D65" s="40"/>
      <c r="E65" s="41"/>
      <c r="F65" s="35"/>
    </row>
    <row r="66" spans="1:6" ht="15" customHeight="1">
      <c r="A66" s="37"/>
      <c r="B66" s="32"/>
      <c r="C66" s="40"/>
      <c r="D66" s="40"/>
      <c r="E66" s="41"/>
      <c r="F66" s="35"/>
    </row>
    <row r="67" spans="1:6" ht="15" customHeight="1">
      <c r="A67" s="37" t="s">
        <v>1288</v>
      </c>
      <c r="B67" s="42" t="s">
        <v>1235</v>
      </c>
      <c r="C67" s="40">
        <v>1</v>
      </c>
      <c r="D67" s="40" t="s">
        <v>1021</v>
      </c>
      <c r="E67" s="41"/>
      <c r="F67" s="35"/>
    </row>
    <row r="68" spans="1:6" ht="15" customHeight="1">
      <c r="A68" s="37"/>
      <c r="B68" s="32"/>
      <c r="C68" s="40"/>
      <c r="D68" s="40"/>
      <c r="E68" s="41"/>
      <c r="F68" s="35"/>
    </row>
    <row r="69" spans="1:6" ht="15" customHeight="1">
      <c r="A69" s="37" t="s">
        <v>1289</v>
      </c>
      <c r="B69" s="32" t="s">
        <v>1237</v>
      </c>
      <c r="C69" s="40">
        <v>129</v>
      </c>
      <c r="D69" s="40" t="s">
        <v>628</v>
      </c>
      <c r="E69" s="41"/>
      <c r="F69" s="35">
        <f>C69*E69</f>
        <v>0</v>
      </c>
    </row>
    <row r="70" spans="1:6" ht="15" customHeight="1">
      <c r="A70" s="37"/>
      <c r="B70" s="32"/>
      <c r="C70" s="40"/>
      <c r="D70" s="40"/>
      <c r="E70" s="41"/>
      <c r="F70" s="35">
        <f>C70*E70</f>
        <v>0</v>
      </c>
    </row>
    <row r="71" spans="1:6" ht="15" customHeight="1">
      <c r="A71" s="37" t="s">
        <v>1290</v>
      </c>
      <c r="B71" s="32" t="s">
        <v>1239</v>
      </c>
      <c r="C71" s="40">
        <v>2</v>
      </c>
      <c r="D71" s="40" t="s">
        <v>628</v>
      </c>
      <c r="E71" s="41"/>
      <c r="F71" s="35"/>
    </row>
    <row r="72" spans="1:6" ht="15" customHeight="1">
      <c r="A72" s="37"/>
      <c r="B72" s="32"/>
      <c r="C72" s="40"/>
      <c r="D72" s="40"/>
      <c r="E72" s="41"/>
      <c r="F72" s="35"/>
    </row>
    <row r="73" spans="1:6" ht="15" customHeight="1">
      <c r="A73" s="37" t="s">
        <v>1291</v>
      </c>
      <c r="B73" s="32" t="s">
        <v>1241</v>
      </c>
      <c r="C73" s="40"/>
      <c r="D73" s="40"/>
      <c r="E73" s="41"/>
      <c r="F73" s="35"/>
    </row>
    <row r="74" spans="1:6" ht="15" customHeight="1">
      <c r="A74" s="37"/>
      <c r="B74" s="32" t="s">
        <v>1242</v>
      </c>
      <c r="C74" s="40">
        <v>155</v>
      </c>
      <c r="D74" s="40" t="s">
        <v>411</v>
      </c>
      <c r="E74" s="41"/>
      <c r="F74" s="35"/>
    </row>
    <row r="75" spans="1:6" ht="15" customHeight="1">
      <c r="A75" s="37"/>
      <c r="B75" s="32" t="s">
        <v>1243</v>
      </c>
      <c r="C75" s="40">
        <v>292</v>
      </c>
      <c r="D75" s="40" t="s">
        <v>411</v>
      </c>
      <c r="E75" s="41"/>
      <c r="F75" s="35">
        <f>C75*E75</f>
        <v>0</v>
      </c>
    </row>
    <row r="76" spans="1:6" ht="15" customHeight="1">
      <c r="A76" s="37"/>
      <c r="B76" s="32" t="s">
        <v>1244</v>
      </c>
      <c r="C76" s="40">
        <v>100</v>
      </c>
      <c r="D76" s="40" t="s">
        <v>411</v>
      </c>
      <c r="E76" s="41"/>
      <c r="F76" s="35"/>
    </row>
    <row r="77" spans="1:6" ht="15" customHeight="1">
      <c r="A77" s="37"/>
      <c r="B77" s="32" t="s">
        <v>1245</v>
      </c>
      <c r="C77" s="40">
        <v>36</v>
      </c>
      <c r="D77" s="40" t="s">
        <v>411</v>
      </c>
      <c r="E77" s="41"/>
      <c r="F77" s="35"/>
    </row>
    <row r="78" spans="1:6" ht="15" customHeight="1">
      <c r="A78" s="37"/>
      <c r="B78" s="32" t="s">
        <v>1246</v>
      </c>
      <c r="C78" s="40">
        <v>14</v>
      </c>
      <c r="D78" s="40" t="s">
        <v>411</v>
      </c>
      <c r="E78" s="41"/>
      <c r="F78" s="35">
        <f>C78*E78</f>
        <v>0</v>
      </c>
    </row>
    <row r="79" spans="1:6" ht="15" customHeight="1">
      <c r="A79" s="37"/>
      <c r="B79" s="32" t="s">
        <v>1247</v>
      </c>
      <c r="C79" s="40">
        <v>12</v>
      </c>
      <c r="D79" s="40" t="s">
        <v>411</v>
      </c>
      <c r="E79" s="41"/>
      <c r="F79" s="35"/>
    </row>
    <row r="80" spans="1:6" ht="15" customHeight="1">
      <c r="A80" s="37"/>
      <c r="B80" s="32" t="s">
        <v>1248</v>
      </c>
      <c r="C80" s="40">
        <v>62</v>
      </c>
      <c r="D80" s="40" t="s">
        <v>411</v>
      </c>
      <c r="E80" s="41"/>
      <c r="F80" s="35"/>
    </row>
    <row r="81" spans="1:6" ht="15" customHeight="1">
      <c r="A81" s="37"/>
      <c r="B81" s="32"/>
      <c r="C81" s="40"/>
      <c r="D81" s="40"/>
      <c r="E81" s="41"/>
      <c r="F81" s="35">
        <f>C81*E81</f>
        <v>0</v>
      </c>
    </row>
    <row r="82" spans="1:6" ht="15" customHeight="1">
      <c r="A82" s="37" t="s">
        <v>1292</v>
      </c>
      <c r="B82" s="32" t="s">
        <v>1250</v>
      </c>
      <c r="C82" s="40">
        <v>1</v>
      </c>
      <c r="D82" s="40" t="s">
        <v>1021</v>
      </c>
      <c r="E82" s="41"/>
      <c r="F82" s="35"/>
    </row>
    <row r="83" spans="1:6" ht="15" customHeight="1">
      <c r="A83" s="37"/>
      <c r="B83" s="32"/>
      <c r="C83" s="40"/>
      <c r="D83" s="40"/>
      <c r="E83" s="41"/>
      <c r="F83" s="35"/>
    </row>
    <row r="84" spans="1:6" ht="15" customHeight="1">
      <c r="A84" s="37" t="s">
        <v>1293</v>
      </c>
      <c r="B84" s="32" t="s">
        <v>1252</v>
      </c>
      <c r="C84" s="40">
        <v>1</v>
      </c>
      <c r="D84" s="40" t="s">
        <v>1021</v>
      </c>
      <c r="E84" s="41"/>
      <c r="F84" s="35">
        <f t="shared" ref="F84:F91" si="1">C84*E84</f>
        <v>0</v>
      </c>
    </row>
    <row r="85" spans="1:6" ht="15" customHeight="1">
      <c r="A85" s="37"/>
      <c r="B85" s="32"/>
      <c r="C85" s="40"/>
      <c r="D85" s="40"/>
      <c r="E85" s="41"/>
      <c r="F85" s="35">
        <f t="shared" si="1"/>
        <v>0</v>
      </c>
    </row>
    <row r="86" spans="1:6" ht="15" customHeight="1">
      <c r="A86" s="37" t="s">
        <v>1294</v>
      </c>
      <c r="B86" s="32" t="s">
        <v>1254</v>
      </c>
      <c r="C86" s="40">
        <v>46</v>
      </c>
      <c r="D86" s="40" t="s">
        <v>1015</v>
      </c>
      <c r="E86" s="41"/>
      <c r="F86" s="35">
        <f t="shared" si="1"/>
        <v>0</v>
      </c>
    </row>
    <row r="87" spans="1:6" ht="15" customHeight="1">
      <c r="A87" s="37"/>
      <c r="B87" s="32"/>
      <c r="C87" s="40"/>
      <c r="D87" s="40"/>
      <c r="E87" s="41"/>
      <c r="F87" s="35">
        <f t="shared" si="1"/>
        <v>0</v>
      </c>
    </row>
    <row r="88" spans="1:6" ht="15" customHeight="1">
      <c r="A88" s="37" t="s">
        <v>1295</v>
      </c>
      <c r="B88" s="32" t="s">
        <v>1256</v>
      </c>
      <c r="C88" s="40">
        <v>7</v>
      </c>
      <c r="D88" s="40" t="s">
        <v>1015</v>
      </c>
      <c r="E88" s="41"/>
      <c r="F88" s="35">
        <f t="shared" si="1"/>
        <v>0</v>
      </c>
    </row>
    <row r="89" spans="1:6" ht="15" customHeight="1">
      <c r="A89" s="37"/>
      <c r="B89" s="32"/>
      <c r="C89" s="40"/>
      <c r="D89" s="40"/>
      <c r="E89" s="41"/>
      <c r="F89" s="35">
        <f t="shared" si="1"/>
        <v>0</v>
      </c>
    </row>
    <row r="90" spans="1:6" ht="15" customHeight="1">
      <c r="A90" s="37" t="s">
        <v>1296</v>
      </c>
      <c r="B90" s="32" t="s">
        <v>1258</v>
      </c>
      <c r="C90" s="40">
        <v>3</v>
      </c>
      <c r="D90" s="40" t="s">
        <v>1015</v>
      </c>
      <c r="E90" s="41"/>
      <c r="F90" s="35">
        <f t="shared" si="1"/>
        <v>0</v>
      </c>
    </row>
    <row r="91" spans="1:6" ht="15" customHeight="1">
      <c r="A91" s="37"/>
      <c r="B91" s="32"/>
      <c r="C91" s="40"/>
      <c r="D91" s="40"/>
      <c r="E91" s="41"/>
      <c r="F91" s="35">
        <f t="shared" si="1"/>
        <v>0</v>
      </c>
    </row>
    <row r="92" spans="1:6" ht="15" customHeight="1">
      <c r="A92" s="37" t="s">
        <v>1297</v>
      </c>
      <c r="B92" s="32" t="s">
        <v>1260</v>
      </c>
      <c r="C92" s="40">
        <v>1</v>
      </c>
      <c r="D92" s="40" t="s">
        <v>1015</v>
      </c>
      <c r="E92" s="50"/>
      <c r="F92" s="35"/>
    </row>
    <row r="93" spans="1:6" ht="15" customHeight="1">
      <c r="A93" s="44"/>
      <c r="B93" s="45"/>
      <c r="C93" s="46"/>
      <c r="D93" s="46"/>
      <c r="E93" s="51"/>
      <c r="F93" s="48"/>
    </row>
    <row r="94" spans="1:6" ht="15" customHeight="1">
      <c r="A94" s="37" t="s">
        <v>1298</v>
      </c>
      <c r="B94" s="32" t="s">
        <v>1262</v>
      </c>
      <c r="C94" s="40">
        <v>1</v>
      </c>
      <c r="D94" s="40" t="s">
        <v>1021</v>
      </c>
      <c r="E94" s="41"/>
      <c r="F94" s="35"/>
    </row>
    <row r="95" spans="1:6" ht="15" customHeight="1">
      <c r="A95" s="37"/>
      <c r="B95" s="32"/>
      <c r="C95" s="40"/>
      <c r="D95" s="40"/>
      <c r="E95" s="41"/>
      <c r="F95" s="35"/>
    </row>
    <row r="96" spans="1:6" ht="15" customHeight="1">
      <c r="A96" s="37" t="s">
        <v>1299</v>
      </c>
      <c r="B96" s="32" t="s">
        <v>1264</v>
      </c>
      <c r="C96" s="40">
        <v>1</v>
      </c>
      <c r="D96" s="40" t="s">
        <v>1021</v>
      </c>
      <c r="E96" s="41"/>
      <c r="F96" s="35">
        <f>C96*E96</f>
        <v>0</v>
      </c>
    </row>
    <row r="97" spans="1:6" ht="15" customHeight="1">
      <c r="A97" s="37"/>
      <c r="B97" s="32"/>
      <c r="C97" s="40"/>
      <c r="D97" s="40"/>
      <c r="E97" s="41"/>
      <c r="F97" s="35"/>
    </row>
    <row r="98" spans="1:6" ht="15" customHeight="1">
      <c r="A98" s="37" t="s">
        <v>1300</v>
      </c>
      <c r="B98" s="32" t="s">
        <v>1266</v>
      </c>
      <c r="C98" s="40">
        <v>1</v>
      </c>
      <c r="D98" s="40" t="s">
        <v>1021</v>
      </c>
      <c r="E98" s="41"/>
      <c r="F98" s="35"/>
    </row>
    <row r="99" spans="1:6" ht="15" customHeight="1">
      <c r="A99" s="37"/>
      <c r="B99" s="32"/>
      <c r="C99" s="40"/>
      <c r="D99" s="40"/>
      <c r="E99" s="41"/>
      <c r="F99" s="35">
        <f>C99*E99</f>
        <v>0</v>
      </c>
    </row>
    <row r="100" spans="1:6" ht="36" customHeight="1">
      <c r="A100" s="37" t="s">
        <v>1301</v>
      </c>
      <c r="B100" s="32" t="s">
        <v>1268</v>
      </c>
      <c r="C100" s="40">
        <v>1</v>
      </c>
      <c r="D100" s="40" t="s">
        <v>1021</v>
      </c>
      <c r="E100" s="41"/>
      <c r="F100" s="35"/>
    </row>
    <row r="101" spans="1:6" ht="15" customHeight="1">
      <c r="A101" s="37"/>
      <c r="B101" s="32"/>
      <c r="C101" s="40"/>
      <c r="D101" s="40"/>
      <c r="E101" s="41"/>
      <c r="F101" s="35"/>
    </row>
    <row r="102" spans="1:6" ht="15" customHeight="1">
      <c r="A102" s="37" t="s">
        <v>1302</v>
      </c>
      <c r="B102" s="32" t="s">
        <v>1270</v>
      </c>
      <c r="C102" s="40">
        <v>7</v>
      </c>
      <c r="D102" s="40" t="s">
        <v>1271</v>
      </c>
      <c r="E102" s="41"/>
      <c r="F102" s="35">
        <f>C102*E102</f>
        <v>0</v>
      </c>
    </row>
    <row r="103" spans="1:6" ht="15" customHeight="1">
      <c r="A103" s="37"/>
      <c r="B103" s="32"/>
      <c r="C103" s="40"/>
      <c r="D103" s="40"/>
      <c r="E103" s="41"/>
      <c r="F103" s="35"/>
    </row>
    <row r="104" spans="1:6" ht="15" customHeight="1">
      <c r="A104" s="37" t="s">
        <v>1303</v>
      </c>
      <c r="B104" s="32" t="s">
        <v>1273</v>
      </c>
      <c r="C104" s="40">
        <v>1</v>
      </c>
      <c r="D104" s="40" t="s">
        <v>1271</v>
      </c>
      <c r="E104" s="41"/>
      <c r="F104" s="35"/>
    </row>
    <row r="105" spans="1:6" ht="15" customHeight="1">
      <c r="A105" s="37"/>
      <c r="B105" s="32"/>
      <c r="C105" s="40"/>
      <c r="D105" s="40"/>
      <c r="E105" s="41"/>
      <c r="F105" s="35"/>
    </row>
    <row r="106" spans="1:6" ht="15" customHeight="1">
      <c r="A106" s="37" t="s">
        <v>1304</v>
      </c>
      <c r="B106" s="32" t="s">
        <v>1275</v>
      </c>
      <c r="C106" s="40">
        <v>1</v>
      </c>
      <c r="D106" s="40" t="s">
        <v>1021</v>
      </c>
      <c r="E106" s="41"/>
      <c r="F106" s="35"/>
    </row>
    <row r="107" spans="1:6" ht="15" customHeight="1">
      <c r="A107" s="37"/>
      <c r="B107" s="32"/>
      <c r="C107" s="40"/>
      <c r="D107" s="40"/>
      <c r="E107" s="41"/>
      <c r="F107" s="35">
        <f t="shared" ref="F107:F113" si="2">C107*E107</f>
        <v>0</v>
      </c>
    </row>
    <row r="108" spans="1:6" ht="15" customHeight="1">
      <c r="A108" s="37" t="s">
        <v>1305</v>
      </c>
      <c r="B108" s="32" t="s">
        <v>1277</v>
      </c>
      <c r="C108" s="40">
        <v>2</v>
      </c>
      <c r="D108" s="40" t="s">
        <v>1021</v>
      </c>
      <c r="E108" s="41"/>
      <c r="F108" s="35"/>
    </row>
    <row r="109" spans="1:6" ht="15" customHeight="1">
      <c r="A109" s="37"/>
      <c r="B109" s="32"/>
      <c r="C109" s="40"/>
      <c r="D109" s="40"/>
      <c r="E109" s="41"/>
      <c r="F109" s="35"/>
    </row>
    <row r="110" spans="1:6" ht="15" customHeight="1">
      <c r="A110" s="37" t="s">
        <v>1306</v>
      </c>
      <c r="B110" s="32" t="s">
        <v>1279</v>
      </c>
      <c r="C110" s="40">
        <v>1</v>
      </c>
      <c r="D110" s="40" t="s">
        <v>1021</v>
      </c>
      <c r="E110" s="41"/>
      <c r="F110" s="35">
        <f t="shared" si="2"/>
        <v>0</v>
      </c>
    </row>
    <row r="111" spans="1:6" ht="15" customHeight="1">
      <c r="A111" s="37"/>
      <c r="B111" s="32"/>
      <c r="C111" s="40"/>
      <c r="D111" s="40"/>
      <c r="E111" s="41"/>
      <c r="F111" s="35">
        <f t="shared" si="2"/>
        <v>0</v>
      </c>
    </row>
    <row r="112" spans="1:6" ht="15" customHeight="1">
      <c r="A112" s="37" t="s">
        <v>1307</v>
      </c>
      <c r="B112" s="32" t="s">
        <v>1281</v>
      </c>
      <c r="C112" s="40">
        <v>1</v>
      </c>
      <c r="D112" s="40" t="s">
        <v>628</v>
      </c>
      <c r="E112" s="41"/>
      <c r="F112" s="35">
        <f t="shared" si="2"/>
        <v>0</v>
      </c>
    </row>
    <row r="113" spans="1:6" ht="15" customHeight="1">
      <c r="A113" s="37"/>
      <c r="B113" s="32"/>
      <c r="C113" s="40"/>
      <c r="D113" s="40"/>
      <c r="E113" s="41"/>
      <c r="F113" s="35">
        <f t="shared" si="2"/>
        <v>0</v>
      </c>
    </row>
    <row r="114" spans="1:6" ht="15" customHeight="1">
      <c r="A114" s="37" t="s">
        <v>1308</v>
      </c>
      <c r="B114" s="32" t="s">
        <v>1283</v>
      </c>
      <c r="C114" s="40">
        <v>1</v>
      </c>
      <c r="D114" s="40" t="s">
        <v>628</v>
      </c>
      <c r="E114" s="41"/>
      <c r="F114" s="35"/>
    </row>
    <row r="115" spans="1:6" ht="15" customHeight="1">
      <c r="A115" s="37"/>
      <c r="B115" s="32"/>
      <c r="C115" s="40"/>
      <c r="D115" s="40"/>
      <c r="E115" s="41"/>
      <c r="F115" s="35"/>
    </row>
    <row r="116" spans="1:6" ht="15" customHeight="1">
      <c r="A116" s="37" t="s">
        <v>1309</v>
      </c>
      <c r="B116" s="32" t="s">
        <v>1285</v>
      </c>
      <c r="C116" s="40">
        <v>1</v>
      </c>
      <c r="D116" s="40" t="s">
        <v>1021</v>
      </c>
      <c r="E116" s="41"/>
      <c r="F116" s="35"/>
    </row>
    <row r="117" spans="1:6" ht="15" customHeight="1">
      <c r="A117" s="37"/>
      <c r="B117" s="32"/>
      <c r="C117" s="40"/>
      <c r="D117" s="40"/>
      <c r="E117" s="41"/>
      <c r="F117" s="35"/>
    </row>
    <row r="118" spans="1:6" ht="15" customHeight="1">
      <c r="A118" s="52" t="s">
        <v>1310</v>
      </c>
      <c r="B118" s="39" t="s">
        <v>1311</v>
      </c>
      <c r="C118" s="40"/>
      <c r="D118" s="40"/>
      <c r="E118" s="41"/>
      <c r="F118" s="35"/>
    </row>
    <row r="119" spans="1:6" ht="15" customHeight="1">
      <c r="A119" s="37"/>
      <c r="B119" s="32"/>
      <c r="C119" s="40"/>
      <c r="D119" s="40"/>
      <c r="E119" s="41"/>
      <c r="F119" s="35"/>
    </row>
    <row r="120" spans="1:6" ht="15" customHeight="1">
      <c r="A120" s="53" t="s">
        <v>1312</v>
      </c>
      <c r="B120" s="42" t="s">
        <v>1235</v>
      </c>
      <c r="C120" s="40">
        <v>1</v>
      </c>
      <c r="D120" s="40" t="s">
        <v>1021</v>
      </c>
      <c r="E120" s="41"/>
      <c r="F120" s="35"/>
    </row>
    <row r="121" spans="1:6" ht="15" customHeight="1">
      <c r="A121" s="53"/>
      <c r="B121" s="32"/>
      <c r="C121" s="40"/>
      <c r="D121" s="40"/>
      <c r="E121" s="41"/>
      <c r="F121" s="35"/>
    </row>
    <row r="122" spans="1:6" ht="15" customHeight="1">
      <c r="A122" s="53" t="s">
        <v>1313</v>
      </c>
      <c r="B122" s="32" t="s">
        <v>1237</v>
      </c>
      <c r="C122" s="40">
        <v>1</v>
      </c>
      <c r="D122" s="40" t="s">
        <v>1021</v>
      </c>
      <c r="E122" s="41"/>
      <c r="F122" s="35"/>
    </row>
    <row r="123" spans="1:6" ht="15" customHeight="1">
      <c r="A123" s="53"/>
      <c r="B123" s="32"/>
      <c r="C123" s="40"/>
      <c r="D123" s="40"/>
      <c r="E123" s="41"/>
      <c r="F123" s="35"/>
    </row>
    <row r="124" spans="1:6" ht="15" customHeight="1">
      <c r="A124" s="53" t="s">
        <v>1314</v>
      </c>
      <c r="B124" s="32" t="s">
        <v>1239</v>
      </c>
      <c r="C124" s="40">
        <v>1</v>
      </c>
      <c r="D124" s="40" t="s">
        <v>1021</v>
      </c>
      <c r="E124" s="41"/>
      <c r="F124" s="35"/>
    </row>
    <row r="125" spans="1:6" ht="15" customHeight="1">
      <c r="A125" s="53"/>
      <c r="B125" s="32"/>
      <c r="C125" s="40"/>
      <c r="D125" s="40"/>
      <c r="E125" s="41"/>
      <c r="F125" s="35"/>
    </row>
    <row r="126" spans="1:6" ht="15" customHeight="1">
      <c r="A126" s="53" t="s">
        <v>1315</v>
      </c>
      <c r="B126" s="32" t="s">
        <v>1241</v>
      </c>
      <c r="C126" s="40">
        <v>1</v>
      </c>
      <c r="D126" s="40" t="s">
        <v>1021</v>
      </c>
      <c r="E126" s="41"/>
      <c r="F126" s="35"/>
    </row>
    <row r="127" spans="1:6" ht="15" customHeight="1">
      <c r="A127" s="53"/>
      <c r="B127" s="32"/>
      <c r="C127" s="40"/>
      <c r="D127" s="40"/>
      <c r="E127" s="41"/>
      <c r="F127" s="35"/>
    </row>
    <row r="128" spans="1:6" ht="15" customHeight="1">
      <c r="A128" s="37" t="s">
        <v>1316</v>
      </c>
      <c r="B128" s="32" t="s">
        <v>1317</v>
      </c>
      <c r="C128" s="40">
        <v>1</v>
      </c>
      <c r="D128" s="40" t="s">
        <v>1021</v>
      </c>
      <c r="E128" s="41"/>
      <c r="F128" s="35"/>
    </row>
    <row r="129" spans="1:6" ht="15" customHeight="1">
      <c r="A129" s="54"/>
      <c r="B129" s="55"/>
      <c r="C129" s="56"/>
      <c r="D129" s="57"/>
      <c r="E129" s="58"/>
      <c r="F129" s="59"/>
    </row>
    <row r="130" spans="1:6" ht="22.7" customHeight="1">
      <c r="A130" s="480" t="s">
        <v>1318</v>
      </c>
      <c r="B130" s="481"/>
      <c r="C130" s="482"/>
      <c r="D130" s="481"/>
      <c r="E130" s="482"/>
      <c r="F130" s="60">
        <f>SUM(F15:F128)</f>
        <v>0</v>
      </c>
    </row>
  </sheetData>
  <mergeCells count="1">
    <mergeCell ref="A130:E130"/>
  </mergeCells>
  <phoneticPr fontId="34" type="noConversion"/>
  <printOptions horizontalCentered="1"/>
  <pageMargins left="0.55118110236220497" right="0.35433070866141703" top="0.98425196850393704" bottom="0.98425196850393704" header="0.511811023622047" footer="0.511811023622047"/>
  <pageSetup paperSize="9" scale="81" orientation="portrait" r:id="rId1"/>
  <headerFooter>
    <oddFooter>&amp;R&amp;"宋体,常规"BQ-L-P.&amp;P/&amp;N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showZeros="0" view="pageBreakPreview" topLeftCell="A11" zoomScaleNormal="100" workbookViewId="0">
      <selection activeCell="B18" sqref="B18:C18"/>
    </sheetView>
  </sheetViews>
  <sheetFormatPr defaultColWidth="9.33203125" defaultRowHeight="12.75"/>
  <cols>
    <col min="1" max="1" width="7.1640625" style="257" customWidth="1"/>
    <col min="2" max="2" width="11.33203125" style="257" customWidth="1"/>
    <col min="3" max="3" width="60" style="257" customWidth="1"/>
    <col min="4" max="4" width="6.83203125" style="257" customWidth="1"/>
    <col min="5" max="5" width="8" style="257" customWidth="1"/>
    <col min="6" max="6" width="12.5" style="267" customWidth="1"/>
    <col min="7" max="7" width="12.5" style="284" customWidth="1"/>
    <col min="8" max="16384" width="9.33203125" style="257"/>
  </cols>
  <sheetData>
    <row r="1" spans="1:7" s="256" customFormat="1" ht="20.100000000000001" customHeight="1">
      <c r="A1" s="259"/>
      <c r="B1" s="260"/>
      <c r="F1" s="260"/>
      <c r="G1" s="8" t="s">
        <v>0</v>
      </c>
    </row>
    <row r="2" spans="1:7" s="256" customFormat="1" ht="20.100000000000001" customHeight="1">
      <c r="A2" s="259"/>
      <c r="B2" s="260"/>
      <c r="F2" s="260"/>
      <c r="G2" s="8" t="s">
        <v>1</v>
      </c>
    </row>
    <row r="3" spans="1:7" s="256" customFormat="1" ht="20.100000000000001" customHeight="1">
      <c r="A3" s="261"/>
      <c r="B3" s="262"/>
      <c r="C3" s="263"/>
      <c r="D3" s="263"/>
      <c r="E3" s="263"/>
      <c r="F3" s="262"/>
      <c r="G3" s="13" t="s">
        <v>2</v>
      </c>
    </row>
    <row r="4" spans="1:7" s="256" customFormat="1" ht="20.100000000000001" customHeight="1">
      <c r="A4" s="123" t="s">
        <v>6</v>
      </c>
      <c r="B4" s="264"/>
      <c r="C4" s="264"/>
      <c r="D4" s="245"/>
    </row>
    <row r="5" spans="1:7" ht="8.25" customHeight="1">
      <c r="A5" s="14"/>
      <c r="B5" s="266"/>
      <c r="C5" s="266"/>
      <c r="D5" s="266"/>
    </row>
    <row r="6" spans="1:7" ht="20.100000000000001" customHeight="1">
      <c r="A6" s="14" t="s">
        <v>53</v>
      </c>
      <c r="B6" s="266"/>
      <c r="C6" s="266"/>
      <c r="D6" s="266"/>
    </row>
    <row r="7" spans="1:7" ht="34.5" customHeight="1">
      <c r="A7" s="285" t="s">
        <v>54</v>
      </c>
      <c r="B7" s="441" t="s">
        <v>55</v>
      </c>
      <c r="C7" s="442"/>
      <c r="D7" s="287" t="s">
        <v>56</v>
      </c>
      <c r="E7" s="286" t="s">
        <v>57</v>
      </c>
      <c r="F7" s="288" t="s">
        <v>58</v>
      </c>
      <c r="G7" s="289" t="s">
        <v>59</v>
      </c>
    </row>
    <row r="8" spans="1:7" ht="27" customHeight="1">
      <c r="A8" s="290"/>
      <c r="B8" s="443" t="s">
        <v>60</v>
      </c>
      <c r="C8" s="444"/>
      <c r="D8" s="272"/>
      <c r="E8" s="291"/>
      <c r="F8" s="292"/>
      <c r="G8" s="293"/>
    </row>
    <row r="9" spans="1:7" ht="15" customHeight="1">
      <c r="A9" s="294" t="s">
        <v>61</v>
      </c>
      <c r="B9" s="445" t="s">
        <v>62</v>
      </c>
      <c r="C9" s="446"/>
      <c r="D9" s="276"/>
      <c r="E9" s="279"/>
      <c r="F9" s="295"/>
      <c r="G9" s="296"/>
    </row>
    <row r="10" spans="1:7" ht="15" customHeight="1">
      <c r="A10" s="294"/>
      <c r="B10" s="445" t="s">
        <v>63</v>
      </c>
      <c r="C10" s="446"/>
      <c r="D10" s="276"/>
      <c r="E10" s="279"/>
      <c r="F10" s="295"/>
      <c r="G10" s="296"/>
    </row>
    <row r="11" spans="1:7" ht="15" customHeight="1">
      <c r="A11" s="294"/>
      <c r="B11" s="445" t="s">
        <v>64</v>
      </c>
      <c r="C11" s="446"/>
      <c r="D11" s="276"/>
      <c r="E11" s="279"/>
      <c r="F11" s="295"/>
      <c r="G11" s="296"/>
    </row>
    <row r="12" spans="1:7" ht="15" customHeight="1">
      <c r="A12" s="294"/>
      <c r="B12" s="447" t="s">
        <v>65</v>
      </c>
      <c r="C12" s="446"/>
      <c r="D12" s="276"/>
      <c r="E12" s="279"/>
      <c r="F12" s="295"/>
      <c r="G12" s="296"/>
    </row>
    <row r="13" spans="1:7" ht="15" customHeight="1">
      <c r="A13" s="294"/>
      <c r="B13" s="445" t="s">
        <v>66</v>
      </c>
      <c r="C13" s="446"/>
      <c r="D13" s="276"/>
      <c r="E13" s="279"/>
      <c r="F13" s="295"/>
      <c r="G13" s="296"/>
    </row>
    <row r="14" spans="1:7" ht="21.95" customHeight="1">
      <c r="A14" s="297"/>
      <c r="B14" s="277"/>
      <c r="C14" s="278"/>
      <c r="D14" s="276"/>
      <c r="E14" s="279"/>
      <c r="F14" s="295"/>
      <c r="G14" s="296"/>
    </row>
    <row r="15" spans="1:7" ht="21.95" customHeight="1">
      <c r="A15" s="298" t="s">
        <v>67</v>
      </c>
      <c r="B15" s="445" t="s">
        <v>68</v>
      </c>
      <c r="C15" s="446"/>
      <c r="D15" s="299">
        <v>1</v>
      </c>
      <c r="E15" s="300" t="s">
        <v>69</v>
      </c>
      <c r="F15" s="295"/>
      <c r="G15" s="296">
        <f>F15*D15</f>
        <v>0</v>
      </c>
    </row>
    <row r="16" spans="1:7" ht="15" customHeight="1">
      <c r="A16" s="294" t="s">
        <v>61</v>
      </c>
      <c r="B16" s="445" t="s">
        <v>70</v>
      </c>
      <c r="C16" s="446"/>
      <c r="D16" s="276"/>
      <c r="E16" s="279"/>
      <c r="F16" s="295"/>
      <c r="G16" s="296"/>
    </row>
    <row r="17" spans="1:7" ht="15" customHeight="1">
      <c r="A17" s="294" t="s">
        <v>71</v>
      </c>
      <c r="B17" s="445" t="s">
        <v>72</v>
      </c>
      <c r="C17" s="446"/>
      <c r="D17" s="276"/>
      <c r="E17" s="279"/>
      <c r="F17" s="295"/>
      <c r="G17" s="296"/>
    </row>
    <row r="18" spans="1:7" ht="15" customHeight="1">
      <c r="A18" s="294"/>
      <c r="B18" s="445" t="s">
        <v>73</v>
      </c>
      <c r="C18" s="446"/>
      <c r="D18" s="276"/>
      <c r="E18" s="279"/>
      <c r="F18" s="295"/>
      <c r="G18" s="296"/>
    </row>
    <row r="19" spans="1:7" ht="15" customHeight="1">
      <c r="A19" s="294"/>
      <c r="B19" s="445" t="s">
        <v>74</v>
      </c>
      <c r="C19" s="446"/>
      <c r="D19" s="276"/>
      <c r="E19" s="279"/>
      <c r="F19" s="295"/>
      <c r="G19" s="296"/>
    </row>
    <row r="20" spans="1:7" ht="15" customHeight="1">
      <c r="A20" s="294" t="s">
        <v>71</v>
      </c>
      <c r="B20" s="445" t="s">
        <v>75</v>
      </c>
      <c r="C20" s="446"/>
      <c r="D20" s="276"/>
      <c r="E20" s="279"/>
      <c r="F20" s="295"/>
      <c r="G20" s="296"/>
    </row>
    <row r="21" spans="1:7" ht="15" customHeight="1">
      <c r="A21" s="294"/>
      <c r="B21" s="445" t="s">
        <v>76</v>
      </c>
      <c r="C21" s="446"/>
      <c r="D21" s="276"/>
      <c r="E21" s="279"/>
      <c r="F21" s="295"/>
      <c r="G21" s="296"/>
    </row>
    <row r="22" spans="1:7" ht="15" customHeight="1">
      <c r="A22" s="294"/>
      <c r="B22" s="277"/>
      <c r="C22" s="278"/>
      <c r="D22" s="276"/>
      <c r="E22" s="279"/>
      <c r="F22" s="295"/>
      <c r="G22" s="296"/>
    </row>
    <row r="23" spans="1:7" ht="17.100000000000001" customHeight="1">
      <c r="A23" s="298" t="s">
        <v>77</v>
      </c>
      <c r="B23" s="445" t="s">
        <v>78</v>
      </c>
      <c r="C23" s="446"/>
      <c r="D23" s="299">
        <v>1</v>
      </c>
      <c r="E23" s="300" t="s">
        <v>69</v>
      </c>
      <c r="F23" s="301"/>
      <c r="G23" s="296">
        <f>F23*D23</f>
        <v>0</v>
      </c>
    </row>
    <row r="24" spans="1:7" ht="15" customHeight="1">
      <c r="A24" s="294" t="s">
        <v>61</v>
      </c>
      <c r="B24" s="445" t="s">
        <v>70</v>
      </c>
      <c r="C24" s="446"/>
      <c r="D24" s="276"/>
      <c r="E24" s="279"/>
      <c r="F24" s="295"/>
      <c r="G24" s="296"/>
    </row>
    <row r="25" spans="1:7" ht="15" customHeight="1">
      <c r="A25" s="294" t="s">
        <v>71</v>
      </c>
      <c r="B25" s="445" t="s">
        <v>79</v>
      </c>
      <c r="C25" s="446"/>
      <c r="D25" s="276"/>
      <c r="E25" s="279"/>
      <c r="F25" s="295"/>
      <c r="G25" s="296"/>
    </row>
    <row r="26" spans="1:7" ht="15" customHeight="1">
      <c r="A26" s="294"/>
      <c r="B26" s="445" t="s">
        <v>80</v>
      </c>
      <c r="C26" s="446"/>
      <c r="D26" s="276"/>
      <c r="E26" s="279"/>
      <c r="F26" s="295"/>
      <c r="G26" s="296"/>
    </row>
    <row r="27" spans="1:7" ht="15" customHeight="1">
      <c r="A27" s="294" t="s">
        <v>71</v>
      </c>
      <c r="B27" s="445" t="s">
        <v>81</v>
      </c>
      <c r="C27" s="446"/>
      <c r="D27" s="276"/>
      <c r="E27" s="279"/>
      <c r="F27" s="295"/>
      <c r="G27" s="296"/>
    </row>
    <row r="28" spans="1:7" ht="15" customHeight="1">
      <c r="A28" s="294"/>
      <c r="B28" s="445" t="s">
        <v>82</v>
      </c>
      <c r="C28" s="446"/>
      <c r="D28" s="276"/>
      <c r="E28" s="279"/>
      <c r="F28" s="295"/>
      <c r="G28" s="296"/>
    </row>
    <row r="29" spans="1:7" ht="15" customHeight="1">
      <c r="A29" s="294" t="s">
        <v>71</v>
      </c>
      <c r="B29" s="445" t="s">
        <v>83</v>
      </c>
      <c r="C29" s="446"/>
      <c r="D29" s="276"/>
      <c r="E29" s="279"/>
      <c r="F29" s="295"/>
      <c r="G29" s="296"/>
    </row>
    <row r="30" spans="1:7" ht="15" customHeight="1">
      <c r="A30" s="294"/>
      <c r="B30" s="445" t="s">
        <v>84</v>
      </c>
      <c r="C30" s="446"/>
      <c r="D30" s="276"/>
      <c r="E30" s="279"/>
      <c r="F30" s="295"/>
      <c r="G30" s="296"/>
    </row>
    <row r="31" spans="1:7" ht="15" customHeight="1">
      <c r="A31" s="294"/>
      <c r="B31" s="445" t="s">
        <v>85</v>
      </c>
      <c r="C31" s="446"/>
      <c r="D31" s="276"/>
      <c r="E31" s="279"/>
      <c r="F31" s="295"/>
      <c r="G31" s="296"/>
    </row>
    <row r="32" spans="1:7" ht="15" customHeight="1">
      <c r="A32" s="294" t="s">
        <v>71</v>
      </c>
      <c r="B32" s="445" t="s">
        <v>86</v>
      </c>
      <c r="C32" s="446"/>
      <c r="D32" s="276"/>
      <c r="E32" s="279"/>
      <c r="F32" s="295"/>
      <c r="G32" s="296"/>
    </row>
    <row r="33" spans="1:7" ht="15" customHeight="1">
      <c r="A33" s="294"/>
      <c r="B33" s="445" t="s">
        <v>87</v>
      </c>
      <c r="C33" s="446"/>
      <c r="D33" s="276"/>
      <c r="E33" s="279"/>
      <c r="F33" s="295"/>
      <c r="G33" s="296"/>
    </row>
    <row r="34" spans="1:7" ht="15" customHeight="1">
      <c r="A34" s="294"/>
      <c r="B34" s="277"/>
      <c r="C34" s="278"/>
      <c r="D34" s="276"/>
      <c r="E34" s="279"/>
      <c r="F34" s="295"/>
      <c r="G34" s="296"/>
    </row>
    <row r="35" spans="1:7" ht="15.95" customHeight="1">
      <c r="A35" s="298" t="s">
        <v>88</v>
      </c>
      <c r="B35" s="445" t="s">
        <v>89</v>
      </c>
      <c r="C35" s="446"/>
      <c r="D35" s="299">
        <v>1</v>
      </c>
      <c r="E35" s="300" t="s">
        <v>69</v>
      </c>
      <c r="F35" s="295"/>
      <c r="G35" s="296">
        <f>F35*D35</f>
        <v>0</v>
      </c>
    </row>
    <row r="36" spans="1:7" ht="15" customHeight="1">
      <c r="A36" s="294" t="s">
        <v>61</v>
      </c>
      <c r="B36" s="445" t="s">
        <v>70</v>
      </c>
      <c r="C36" s="446"/>
      <c r="D36" s="276"/>
      <c r="E36" s="279"/>
      <c r="F36" s="295"/>
      <c r="G36" s="296"/>
    </row>
    <row r="37" spans="1:7" ht="15" customHeight="1">
      <c r="A37" s="294" t="s">
        <v>71</v>
      </c>
      <c r="B37" s="445" t="s">
        <v>90</v>
      </c>
      <c r="C37" s="446"/>
      <c r="D37" s="276"/>
      <c r="E37" s="279"/>
      <c r="F37" s="295"/>
      <c r="G37" s="296"/>
    </row>
    <row r="38" spans="1:7" ht="15" customHeight="1">
      <c r="A38" s="294"/>
      <c r="B38" s="445" t="s">
        <v>91</v>
      </c>
      <c r="C38" s="446"/>
      <c r="D38" s="276"/>
      <c r="E38" s="279"/>
      <c r="F38" s="295"/>
      <c r="G38" s="296"/>
    </row>
    <row r="39" spans="1:7" ht="15" customHeight="1">
      <c r="A39" s="294"/>
      <c r="B39" s="445" t="s">
        <v>92</v>
      </c>
      <c r="C39" s="446"/>
      <c r="D39" s="276"/>
      <c r="E39" s="279"/>
      <c r="F39" s="295"/>
      <c r="G39" s="296"/>
    </row>
    <row r="40" spans="1:7" ht="15" customHeight="1">
      <c r="A40" s="294"/>
      <c r="B40" s="445" t="s">
        <v>93</v>
      </c>
      <c r="C40" s="446"/>
      <c r="D40" s="276"/>
      <c r="E40" s="279"/>
      <c r="F40" s="295"/>
      <c r="G40" s="296"/>
    </row>
    <row r="41" spans="1:7" ht="15" customHeight="1">
      <c r="A41" s="294"/>
      <c r="B41" s="277"/>
      <c r="C41" s="278"/>
      <c r="D41" s="276"/>
      <c r="E41" s="279"/>
      <c r="F41" s="295"/>
      <c r="G41" s="296"/>
    </row>
    <row r="42" spans="1:7" ht="15.95" customHeight="1">
      <c r="A42" s="298" t="s">
        <v>94</v>
      </c>
      <c r="B42" s="445" t="s">
        <v>95</v>
      </c>
      <c r="C42" s="446"/>
      <c r="D42" s="299">
        <v>1</v>
      </c>
      <c r="E42" s="300" t="s">
        <v>69</v>
      </c>
      <c r="F42" s="295"/>
      <c r="G42" s="296">
        <f>F42*D42</f>
        <v>0</v>
      </c>
    </row>
    <row r="43" spans="1:7" ht="15" customHeight="1">
      <c r="A43" s="294" t="s">
        <v>61</v>
      </c>
      <c r="B43" s="445" t="s">
        <v>70</v>
      </c>
      <c r="C43" s="446"/>
      <c r="D43" s="276"/>
      <c r="E43" s="279"/>
      <c r="F43" s="295"/>
      <c r="G43" s="296"/>
    </row>
    <row r="44" spans="1:7" ht="15" customHeight="1">
      <c r="A44" s="294" t="s">
        <v>71</v>
      </c>
      <c r="B44" s="445" t="s">
        <v>96</v>
      </c>
      <c r="C44" s="446"/>
      <c r="D44" s="276"/>
      <c r="E44" s="279"/>
      <c r="F44" s="295"/>
      <c r="G44" s="296"/>
    </row>
    <row r="45" spans="1:7" ht="15" customHeight="1">
      <c r="A45" s="294"/>
      <c r="B45" s="445" t="s">
        <v>97</v>
      </c>
      <c r="C45" s="446"/>
      <c r="D45" s="276"/>
      <c r="E45" s="279"/>
      <c r="F45" s="295"/>
      <c r="G45" s="296"/>
    </row>
    <row r="46" spans="1:7" ht="15" customHeight="1">
      <c r="A46" s="294"/>
      <c r="B46" s="445" t="s">
        <v>91</v>
      </c>
      <c r="C46" s="446"/>
      <c r="D46" s="276"/>
      <c r="E46" s="279"/>
      <c r="F46" s="295"/>
      <c r="G46" s="296"/>
    </row>
    <row r="47" spans="1:7" ht="15" customHeight="1">
      <c r="A47" s="294"/>
      <c r="B47" s="445" t="s">
        <v>98</v>
      </c>
      <c r="C47" s="446"/>
      <c r="D47" s="276"/>
      <c r="E47" s="279"/>
      <c r="F47" s="295"/>
      <c r="G47" s="296"/>
    </row>
    <row r="48" spans="1:7" ht="15" customHeight="1">
      <c r="A48" s="294"/>
      <c r="B48" s="445" t="s">
        <v>99</v>
      </c>
      <c r="C48" s="446"/>
      <c r="D48" s="276"/>
      <c r="E48" s="279"/>
      <c r="F48" s="295"/>
      <c r="G48" s="296"/>
    </row>
    <row r="49" spans="1:7" ht="15" customHeight="1">
      <c r="A49" s="294"/>
      <c r="B49" s="445" t="s">
        <v>100</v>
      </c>
      <c r="C49" s="446"/>
      <c r="D49" s="276"/>
      <c r="E49" s="279"/>
      <c r="F49" s="295"/>
      <c r="G49" s="296"/>
    </row>
    <row r="50" spans="1:7" ht="15" customHeight="1">
      <c r="A50" s="294"/>
      <c r="B50" s="277"/>
      <c r="C50" s="278"/>
      <c r="D50" s="276"/>
      <c r="E50" s="279"/>
      <c r="F50" s="295"/>
      <c r="G50" s="296"/>
    </row>
    <row r="51" spans="1:7" ht="15" customHeight="1">
      <c r="A51" s="298" t="s">
        <v>101</v>
      </c>
      <c r="B51" s="445" t="s">
        <v>102</v>
      </c>
      <c r="C51" s="446"/>
      <c r="D51" s="299">
        <v>1</v>
      </c>
      <c r="E51" s="300" t="s">
        <v>69</v>
      </c>
      <c r="F51" s="295"/>
      <c r="G51" s="296">
        <f>F51*D51</f>
        <v>0</v>
      </c>
    </row>
    <row r="52" spans="1:7" ht="15" customHeight="1">
      <c r="A52" s="297"/>
      <c r="B52" s="445" t="s">
        <v>103</v>
      </c>
      <c r="C52" s="446"/>
      <c r="D52" s="276"/>
      <c r="E52" s="279"/>
      <c r="F52" s="295"/>
      <c r="G52" s="296"/>
    </row>
    <row r="53" spans="1:7" ht="15" customHeight="1">
      <c r="A53" s="294" t="s">
        <v>61</v>
      </c>
      <c r="B53" s="445" t="s">
        <v>70</v>
      </c>
      <c r="C53" s="446"/>
      <c r="D53" s="276"/>
      <c r="E53" s="279"/>
      <c r="F53" s="295"/>
      <c r="G53" s="296"/>
    </row>
    <row r="54" spans="1:7" ht="15" customHeight="1">
      <c r="A54" s="294" t="s">
        <v>71</v>
      </c>
      <c r="B54" s="445" t="s">
        <v>104</v>
      </c>
      <c r="C54" s="446"/>
      <c r="D54" s="276"/>
      <c r="E54" s="279"/>
      <c r="F54" s="295"/>
      <c r="G54" s="296"/>
    </row>
    <row r="55" spans="1:7" ht="15" customHeight="1">
      <c r="A55" s="297"/>
      <c r="B55" s="445" t="s">
        <v>105</v>
      </c>
      <c r="C55" s="446"/>
      <c r="D55" s="276"/>
      <c r="E55" s="279"/>
      <c r="F55" s="295"/>
      <c r="G55" s="296"/>
    </row>
    <row r="56" spans="1:7" ht="15.95" customHeight="1">
      <c r="A56" s="302"/>
      <c r="B56" s="303"/>
      <c r="C56" s="304"/>
      <c r="D56" s="305"/>
      <c r="E56" s="306"/>
      <c r="F56" s="307"/>
      <c r="G56" s="308"/>
    </row>
    <row r="57" spans="1:7" ht="15" customHeight="1">
      <c r="A57" s="298" t="s">
        <v>106</v>
      </c>
      <c r="B57" s="445" t="s">
        <v>107</v>
      </c>
      <c r="C57" s="446"/>
      <c r="D57" s="299">
        <v>1</v>
      </c>
      <c r="E57" s="300" t="s">
        <v>69</v>
      </c>
      <c r="F57" s="295"/>
      <c r="G57" s="296">
        <f>D57*F57</f>
        <v>0</v>
      </c>
    </row>
    <row r="58" spans="1:7" ht="15" customHeight="1">
      <c r="A58" s="294" t="s">
        <v>61</v>
      </c>
      <c r="B58" s="445" t="s">
        <v>70</v>
      </c>
      <c r="C58" s="446"/>
      <c r="D58" s="276"/>
      <c r="E58" s="279"/>
      <c r="F58" s="295"/>
      <c r="G58" s="296"/>
    </row>
    <row r="59" spans="1:7" ht="15" customHeight="1">
      <c r="A59" s="294" t="s">
        <v>71</v>
      </c>
      <c r="B59" s="445" t="s">
        <v>108</v>
      </c>
      <c r="C59" s="446"/>
      <c r="D59" s="276"/>
      <c r="E59" s="279"/>
      <c r="F59" s="295"/>
      <c r="G59" s="296"/>
    </row>
    <row r="60" spans="1:7" ht="15" customHeight="1">
      <c r="A60" s="297"/>
      <c r="B60" s="445" t="s">
        <v>109</v>
      </c>
      <c r="C60" s="446"/>
      <c r="D60" s="276"/>
      <c r="E60" s="279"/>
      <c r="F60" s="295"/>
      <c r="G60" s="296"/>
    </row>
    <row r="61" spans="1:7" ht="15" customHeight="1">
      <c r="A61" s="297"/>
      <c r="B61" s="445" t="s">
        <v>110</v>
      </c>
      <c r="C61" s="446"/>
      <c r="D61" s="276"/>
      <c r="E61" s="279"/>
      <c r="F61" s="295"/>
      <c r="G61" s="296"/>
    </row>
    <row r="62" spans="1:7" ht="15" customHeight="1">
      <c r="A62" s="297"/>
      <c r="B62" s="445" t="s">
        <v>111</v>
      </c>
      <c r="C62" s="446"/>
      <c r="D62" s="276"/>
      <c r="E62" s="279"/>
      <c r="F62" s="295"/>
      <c r="G62" s="296"/>
    </row>
    <row r="63" spans="1:7" ht="15" customHeight="1">
      <c r="A63" s="297"/>
      <c r="B63" s="445" t="s">
        <v>112</v>
      </c>
      <c r="C63" s="446"/>
      <c r="D63" s="276"/>
      <c r="E63" s="279"/>
      <c r="F63" s="295"/>
      <c r="G63" s="296"/>
    </row>
    <row r="64" spans="1:7" ht="67.5" customHeight="1">
      <c r="A64" s="309" t="s">
        <v>113</v>
      </c>
      <c r="B64" s="455" t="s">
        <v>114</v>
      </c>
      <c r="C64" s="456"/>
      <c r="D64" s="310">
        <v>1</v>
      </c>
      <c r="E64" s="311" t="s">
        <v>69</v>
      </c>
      <c r="F64" s="312"/>
      <c r="G64" s="296">
        <f t="shared" ref="G64:G65" si="0">D64*F64</f>
        <v>0</v>
      </c>
    </row>
    <row r="65" spans="1:7" ht="123.75" customHeight="1">
      <c r="A65" s="313" t="s">
        <v>115</v>
      </c>
      <c r="B65" s="455" t="s">
        <v>116</v>
      </c>
      <c r="C65" s="456"/>
      <c r="D65" s="310">
        <v>1</v>
      </c>
      <c r="E65" s="311" t="s">
        <v>69</v>
      </c>
      <c r="F65" s="312"/>
      <c r="G65" s="296">
        <f t="shared" si="0"/>
        <v>0</v>
      </c>
    </row>
    <row r="66" spans="1:7" ht="39" customHeight="1">
      <c r="A66" s="298" t="s">
        <v>117</v>
      </c>
      <c r="B66" s="445" t="s">
        <v>118</v>
      </c>
      <c r="C66" s="457"/>
      <c r="D66" s="299">
        <v>1</v>
      </c>
      <c r="E66" s="281" t="s">
        <v>69</v>
      </c>
      <c r="F66" s="312"/>
      <c r="G66" s="296"/>
    </row>
    <row r="67" spans="1:7" ht="113.25" customHeight="1">
      <c r="A67" s="298" t="s">
        <v>119</v>
      </c>
      <c r="B67" s="448" t="s">
        <v>120</v>
      </c>
      <c r="C67" s="449"/>
      <c r="D67" s="299">
        <v>1</v>
      </c>
      <c r="E67" s="281" t="s">
        <v>69</v>
      </c>
      <c r="F67" s="314"/>
      <c r="G67" s="296"/>
    </row>
    <row r="68" spans="1:7" ht="47.25" customHeight="1">
      <c r="A68" s="298" t="s">
        <v>121</v>
      </c>
      <c r="B68" s="448" t="s">
        <v>122</v>
      </c>
      <c r="C68" s="449"/>
      <c r="D68" s="299">
        <v>1</v>
      </c>
      <c r="E68" s="281" t="s">
        <v>69</v>
      </c>
      <c r="F68" s="314"/>
      <c r="G68" s="296"/>
    </row>
    <row r="69" spans="1:7" ht="47.25" customHeight="1">
      <c r="A69" s="315" t="s">
        <v>123</v>
      </c>
      <c r="B69" s="450" t="s">
        <v>124</v>
      </c>
      <c r="C69" s="451"/>
      <c r="D69" s="316">
        <v>1</v>
      </c>
      <c r="E69" s="317" t="s">
        <v>69</v>
      </c>
      <c r="F69" s="318"/>
      <c r="G69" s="319"/>
    </row>
    <row r="70" spans="1:7" ht="22.7" customHeight="1">
      <c r="A70" s="452" t="s">
        <v>125</v>
      </c>
      <c r="B70" s="453"/>
      <c r="C70" s="453"/>
      <c r="D70" s="453"/>
      <c r="E70" s="453"/>
      <c r="F70" s="454"/>
      <c r="G70" s="320">
        <f>SUM(G8:G66)</f>
        <v>0</v>
      </c>
    </row>
  </sheetData>
  <mergeCells count="58">
    <mergeCell ref="B68:C68"/>
    <mergeCell ref="B69:C69"/>
    <mergeCell ref="A70:F70"/>
    <mergeCell ref="B63:C63"/>
    <mergeCell ref="B64:C64"/>
    <mergeCell ref="B65:C65"/>
    <mergeCell ref="B66:C66"/>
    <mergeCell ref="B67:C67"/>
    <mergeCell ref="B58:C58"/>
    <mergeCell ref="B59:C59"/>
    <mergeCell ref="B60:C60"/>
    <mergeCell ref="B61:C61"/>
    <mergeCell ref="B62:C62"/>
    <mergeCell ref="B52:C52"/>
    <mergeCell ref="B53:C53"/>
    <mergeCell ref="B54:C54"/>
    <mergeCell ref="B55:C55"/>
    <mergeCell ref="B57:C57"/>
    <mergeCell ref="B46:C46"/>
    <mergeCell ref="B47:C47"/>
    <mergeCell ref="B48:C48"/>
    <mergeCell ref="B49:C49"/>
    <mergeCell ref="B51:C51"/>
    <mergeCell ref="B40:C40"/>
    <mergeCell ref="B42:C42"/>
    <mergeCell ref="B43:C43"/>
    <mergeCell ref="B44:C44"/>
    <mergeCell ref="B45:C45"/>
    <mergeCell ref="B35:C35"/>
    <mergeCell ref="B36:C36"/>
    <mergeCell ref="B37:C37"/>
    <mergeCell ref="B38:C38"/>
    <mergeCell ref="B39:C39"/>
    <mergeCell ref="B29:C29"/>
    <mergeCell ref="B30:C30"/>
    <mergeCell ref="B31:C31"/>
    <mergeCell ref="B32:C32"/>
    <mergeCell ref="B33:C33"/>
    <mergeCell ref="B24:C24"/>
    <mergeCell ref="B25:C25"/>
    <mergeCell ref="B26:C26"/>
    <mergeCell ref="B27:C27"/>
    <mergeCell ref="B28:C28"/>
    <mergeCell ref="B18:C18"/>
    <mergeCell ref="B19:C19"/>
    <mergeCell ref="B20:C20"/>
    <mergeCell ref="B21:C21"/>
    <mergeCell ref="B23:C23"/>
    <mergeCell ref="B12:C12"/>
    <mergeCell ref="B13:C13"/>
    <mergeCell ref="B15:C15"/>
    <mergeCell ref="B16:C16"/>
    <mergeCell ref="B17:C17"/>
    <mergeCell ref="B7:C7"/>
    <mergeCell ref="B8:C8"/>
    <mergeCell ref="B9:C9"/>
    <mergeCell ref="B10:C10"/>
    <mergeCell ref="B11:C11"/>
  </mergeCells>
  <phoneticPr fontId="34" type="noConversion"/>
  <printOptions horizontalCentered="1"/>
  <pageMargins left="0.511811023622047" right="0.31496062992126" top="0.35433070866141703" bottom="0.55118110236220497" header="0.31496062992126" footer="0.31496062992126"/>
  <pageSetup paperSize="9" scale="80" orientation="portrait" r:id="rId1"/>
  <headerFooter>
    <oddFooter>&amp;RBQ-A-P.&amp;P/&amp;N</oddFooter>
  </headerFooter>
  <rowBreaks count="1" manualBreakCount="1">
    <brk id="5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Zeros="0" tabSelected="1" view="pageBreakPreview" zoomScaleNormal="100" workbookViewId="0">
      <selection activeCell="L15" sqref="L15"/>
    </sheetView>
  </sheetViews>
  <sheetFormatPr defaultColWidth="9.33203125" defaultRowHeight="12.75"/>
  <cols>
    <col min="1" max="1" width="5.1640625" style="257" customWidth="1"/>
    <col min="2" max="2" width="11.33203125" style="257" customWidth="1"/>
    <col min="3" max="3" width="60" style="257" customWidth="1"/>
    <col min="4" max="4" width="6.83203125" style="258" customWidth="1"/>
    <col min="5" max="5" width="8" style="257" customWidth="1"/>
    <col min="6" max="6" width="14" style="4" customWidth="1"/>
    <col min="7" max="7" width="18.6640625" style="5" customWidth="1"/>
    <col min="8" max="16384" width="9.33203125" style="257"/>
  </cols>
  <sheetData>
    <row r="1" spans="1:7" s="256" customFormat="1" ht="20.100000000000001" customHeight="1">
      <c r="A1" s="259"/>
      <c r="B1" s="260"/>
      <c r="F1" s="260"/>
      <c r="G1" s="8" t="s">
        <v>0</v>
      </c>
    </row>
    <row r="2" spans="1:7" s="256" customFormat="1" ht="20.100000000000001" customHeight="1">
      <c r="A2" s="259"/>
      <c r="B2" s="260"/>
      <c r="F2" s="260"/>
      <c r="G2" s="8" t="s">
        <v>1</v>
      </c>
    </row>
    <row r="3" spans="1:7" s="256" customFormat="1" ht="20.100000000000001" customHeight="1">
      <c r="A3" s="261"/>
      <c r="B3" s="262"/>
      <c r="C3" s="263"/>
      <c r="D3" s="263"/>
      <c r="E3" s="263"/>
      <c r="F3" s="262"/>
      <c r="G3" s="13" t="s">
        <v>2</v>
      </c>
    </row>
    <row r="4" spans="1:7" s="256" customFormat="1" ht="20.100000000000001" customHeight="1">
      <c r="A4" s="123" t="s">
        <v>6</v>
      </c>
      <c r="B4" s="264"/>
      <c r="C4" s="264"/>
      <c r="D4" s="245"/>
      <c r="G4" s="265"/>
    </row>
    <row r="5" spans="1:7" ht="8.25" customHeight="1">
      <c r="A5" s="14"/>
      <c r="B5" s="266"/>
      <c r="C5" s="266"/>
      <c r="D5" s="266"/>
      <c r="F5" s="267"/>
      <c r="G5" s="268"/>
    </row>
    <row r="6" spans="1:7" ht="20.100000000000001" customHeight="1">
      <c r="A6" s="14" t="s">
        <v>126</v>
      </c>
      <c r="B6" s="266"/>
      <c r="C6" s="266"/>
      <c r="D6" s="269"/>
    </row>
    <row r="7" spans="1:7" ht="27.75" customHeight="1">
      <c r="A7" s="270" t="s">
        <v>54</v>
      </c>
      <c r="B7" s="458" t="s">
        <v>55</v>
      </c>
      <c r="C7" s="459"/>
      <c r="D7" s="271" t="s">
        <v>56</v>
      </c>
      <c r="E7" s="271" t="s">
        <v>57</v>
      </c>
      <c r="F7" s="24" t="s">
        <v>58</v>
      </c>
      <c r="G7" s="25" t="s">
        <v>59</v>
      </c>
    </row>
    <row r="8" spans="1:7" ht="27" customHeight="1">
      <c r="A8" s="272"/>
      <c r="B8" s="443" t="s">
        <v>60</v>
      </c>
      <c r="C8" s="444"/>
      <c r="D8" s="273"/>
      <c r="E8" s="272"/>
      <c r="F8" s="29"/>
      <c r="G8" s="30"/>
    </row>
    <row r="9" spans="1:7" ht="76.5" customHeight="1">
      <c r="A9" s="274" t="s">
        <v>61</v>
      </c>
      <c r="B9" s="460" t="s">
        <v>127</v>
      </c>
      <c r="C9" s="457"/>
      <c r="D9" s="275"/>
      <c r="E9" s="276"/>
      <c r="F9" s="34"/>
      <c r="G9" s="35"/>
    </row>
    <row r="10" spans="1:7" ht="21" customHeight="1">
      <c r="A10" s="274" t="s">
        <v>61</v>
      </c>
      <c r="B10" s="445" t="s">
        <v>128</v>
      </c>
      <c r="C10" s="446"/>
      <c r="D10" s="275"/>
      <c r="E10" s="276"/>
      <c r="F10" s="34"/>
      <c r="G10" s="35"/>
    </row>
    <row r="11" spans="1:7" ht="13.5">
      <c r="A11" s="274"/>
      <c r="B11" s="461"/>
      <c r="C11" s="457"/>
      <c r="D11" s="275"/>
      <c r="E11" s="276"/>
      <c r="F11" s="34"/>
      <c r="G11" s="35"/>
    </row>
    <row r="12" spans="1:7" ht="21" customHeight="1">
      <c r="A12" s="274" t="s">
        <v>61</v>
      </c>
      <c r="B12" s="445" t="s">
        <v>128</v>
      </c>
      <c r="C12" s="446"/>
      <c r="D12" s="275"/>
      <c r="E12" s="276"/>
      <c r="F12" s="34"/>
      <c r="G12" s="35"/>
    </row>
    <row r="13" spans="1:7" ht="39.75" customHeight="1">
      <c r="A13" s="280" t="s">
        <v>129</v>
      </c>
      <c r="B13" s="445" t="s">
        <v>130</v>
      </c>
      <c r="C13" s="446"/>
      <c r="D13" s="275">
        <f>53.6*38.6-645</f>
        <v>1423.96</v>
      </c>
      <c r="E13" s="281" t="s">
        <v>131</v>
      </c>
      <c r="F13" s="34"/>
      <c r="G13" s="35"/>
    </row>
    <row r="14" spans="1:7" ht="39.75" customHeight="1">
      <c r="A14" s="280" t="s">
        <v>132</v>
      </c>
      <c r="B14" s="445" t="s">
        <v>133</v>
      </c>
      <c r="C14" s="446"/>
      <c r="D14" s="275">
        <v>832</v>
      </c>
      <c r="E14" s="281" t="s">
        <v>131</v>
      </c>
      <c r="F14" s="34"/>
      <c r="G14" s="35"/>
    </row>
    <row r="15" spans="1:7" ht="39.75" customHeight="1">
      <c r="A15" s="280" t="s">
        <v>134</v>
      </c>
      <c r="B15" s="445" t="s">
        <v>135</v>
      </c>
      <c r="C15" s="446"/>
      <c r="D15" s="275">
        <v>65</v>
      </c>
      <c r="E15" s="281" t="s">
        <v>131</v>
      </c>
      <c r="F15" s="34"/>
      <c r="G15" s="35"/>
    </row>
    <row r="16" spans="1:7" ht="39.75" customHeight="1">
      <c r="A16" s="280" t="s">
        <v>136</v>
      </c>
      <c r="B16" s="445" t="s">
        <v>137</v>
      </c>
      <c r="C16" s="446"/>
      <c r="D16" s="275">
        <v>33</v>
      </c>
      <c r="E16" s="281" t="s">
        <v>131</v>
      </c>
      <c r="F16" s="34"/>
      <c r="G16" s="35"/>
    </row>
    <row r="17" spans="1:7" ht="39.75" customHeight="1">
      <c r="A17" s="280"/>
      <c r="B17" s="445"/>
      <c r="C17" s="446"/>
      <c r="D17" s="275"/>
      <c r="E17" s="281"/>
      <c r="F17" s="34"/>
      <c r="G17" s="35">
        <f t="shared" ref="G17:G33" si="0">D17*F17</f>
        <v>0</v>
      </c>
    </row>
    <row r="18" spans="1:7" ht="21" customHeight="1">
      <c r="A18" s="280"/>
      <c r="B18" s="445"/>
      <c r="C18" s="446"/>
      <c r="D18" s="275"/>
      <c r="E18" s="281"/>
      <c r="F18" s="34"/>
      <c r="G18" s="35">
        <f t="shared" si="0"/>
        <v>0</v>
      </c>
    </row>
    <row r="19" spans="1:7" ht="21.95" customHeight="1">
      <c r="A19" s="280"/>
      <c r="B19" s="445"/>
      <c r="C19" s="446"/>
      <c r="D19" s="275"/>
      <c r="E19" s="281"/>
      <c r="F19" s="34"/>
      <c r="G19" s="35">
        <f t="shared" si="0"/>
        <v>0</v>
      </c>
    </row>
    <row r="20" spans="1:7" ht="21" customHeight="1">
      <c r="A20" s="280"/>
      <c r="B20" s="445"/>
      <c r="C20" s="446"/>
      <c r="D20" s="275"/>
      <c r="E20" s="281"/>
      <c r="F20" s="34"/>
      <c r="G20" s="35">
        <f t="shared" si="0"/>
        <v>0</v>
      </c>
    </row>
    <row r="21" spans="1:7" ht="21" customHeight="1">
      <c r="A21" s="280"/>
      <c r="B21" s="445"/>
      <c r="C21" s="446"/>
      <c r="D21" s="275"/>
      <c r="E21" s="281"/>
      <c r="F21" s="34"/>
      <c r="G21" s="35">
        <f t="shared" si="0"/>
        <v>0</v>
      </c>
    </row>
    <row r="22" spans="1:7" ht="21.95" customHeight="1">
      <c r="A22" s="280"/>
      <c r="B22" s="445"/>
      <c r="C22" s="446"/>
      <c r="D22" s="275"/>
      <c r="E22" s="281"/>
      <c r="F22" s="34"/>
      <c r="G22" s="35">
        <f t="shared" si="0"/>
        <v>0</v>
      </c>
    </row>
    <row r="23" spans="1:7" ht="21" customHeight="1">
      <c r="A23" s="280"/>
      <c r="B23" s="445"/>
      <c r="C23" s="446"/>
      <c r="D23" s="275"/>
      <c r="E23" s="281"/>
      <c r="F23" s="34"/>
      <c r="G23" s="35">
        <f t="shared" si="0"/>
        <v>0</v>
      </c>
    </row>
    <row r="24" spans="1:7" ht="21.95" customHeight="1">
      <c r="A24" s="280"/>
      <c r="B24" s="445"/>
      <c r="C24" s="446"/>
      <c r="D24" s="275"/>
      <c r="E24" s="281"/>
      <c r="F24" s="34"/>
      <c r="G24" s="35">
        <f t="shared" si="0"/>
        <v>0</v>
      </c>
    </row>
    <row r="25" spans="1:7" ht="21" customHeight="1">
      <c r="A25" s="280"/>
      <c r="B25" s="445"/>
      <c r="C25" s="446"/>
      <c r="D25" s="275"/>
      <c r="E25" s="281"/>
      <c r="F25" s="34"/>
      <c r="G25" s="35">
        <f t="shared" si="0"/>
        <v>0</v>
      </c>
    </row>
    <row r="26" spans="1:7" ht="42.95" customHeight="1">
      <c r="A26" s="280"/>
      <c r="B26" s="461"/>
      <c r="C26" s="457"/>
      <c r="D26" s="275"/>
      <c r="E26" s="281"/>
      <c r="F26" s="34"/>
      <c r="G26" s="35">
        <f t="shared" si="0"/>
        <v>0</v>
      </c>
    </row>
    <row r="27" spans="1:7" ht="21" customHeight="1">
      <c r="A27" s="280"/>
      <c r="B27" s="445"/>
      <c r="C27" s="446"/>
      <c r="D27" s="275"/>
      <c r="E27" s="281"/>
      <c r="F27" s="34"/>
      <c r="G27" s="35">
        <f t="shared" si="0"/>
        <v>0</v>
      </c>
    </row>
    <row r="28" spans="1:7" ht="21.95" customHeight="1">
      <c r="A28" s="280"/>
      <c r="B28" s="445"/>
      <c r="C28" s="446"/>
      <c r="D28" s="275"/>
      <c r="E28" s="281"/>
      <c r="F28" s="34"/>
      <c r="G28" s="35">
        <f t="shared" si="0"/>
        <v>0</v>
      </c>
    </row>
    <row r="29" spans="1:7" ht="21" customHeight="1">
      <c r="A29" s="280"/>
      <c r="B29" s="445"/>
      <c r="C29" s="446"/>
      <c r="D29" s="275"/>
      <c r="E29" s="281"/>
      <c r="F29" s="34"/>
      <c r="G29" s="35">
        <f t="shared" si="0"/>
        <v>0</v>
      </c>
    </row>
    <row r="30" spans="1:7" ht="21" customHeight="1">
      <c r="A30" s="280"/>
      <c r="B30" s="445"/>
      <c r="C30" s="446"/>
      <c r="D30" s="275"/>
      <c r="E30" s="281"/>
      <c r="F30" s="34"/>
      <c r="G30" s="35">
        <f t="shared" si="0"/>
        <v>0</v>
      </c>
    </row>
    <row r="31" spans="1:7" ht="21.95" customHeight="1">
      <c r="A31" s="280"/>
      <c r="B31" s="445"/>
      <c r="C31" s="446"/>
      <c r="D31" s="275"/>
      <c r="E31" s="281"/>
      <c r="F31" s="34"/>
      <c r="G31" s="35">
        <f t="shared" si="0"/>
        <v>0</v>
      </c>
    </row>
    <row r="32" spans="1:7" ht="21" customHeight="1">
      <c r="A32" s="280"/>
      <c r="B32" s="445"/>
      <c r="C32" s="446"/>
      <c r="D32" s="275"/>
      <c r="E32" s="281"/>
      <c r="F32" s="34"/>
      <c r="G32" s="35">
        <f t="shared" si="0"/>
        <v>0</v>
      </c>
    </row>
    <row r="33" spans="1:7" ht="27.95" customHeight="1">
      <c r="A33" s="282"/>
      <c r="B33" s="462"/>
      <c r="C33" s="463"/>
      <c r="D33" s="275"/>
      <c r="E33" s="281"/>
      <c r="F33" s="283"/>
      <c r="G33" s="59">
        <f t="shared" si="0"/>
        <v>0</v>
      </c>
    </row>
    <row r="34" spans="1:7" ht="22.5" customHeight="1">
      <c r="A34" s="464" t="s">
        <v>138</v>
      </c>
      <c r="B34" s="465"/>
      <c r="C34" s="465"/>
      <c r="D34" s="465"/>
      <c r="E34" s="465"/>
      <c r="F34" s="465"/>
      <c r="G34" s="60">
        <f>SUM(G11:G33)</f>
        <v>0</v>
      </c>
    </row>
  </sheetData>
  <mergeCells count="28">
    <mergeCell ref="B32:C32"/>
    <mergeCell ref="B33:C33"/>
    <mergeCell ref="A34:F34"/>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s>
  <phoneticPr fontId="34" type="noConversion"/>
  <printOptions horizontalCentered="1"/>
  <pageMargins left="0.511811023622047" right="0.31496062992126" top="0.55118110236220497" bottom="0.55118110236220497" header="0.31496062992126" footer="0.31496062992126"/>
  <pageSetup paperSize="9" scale="80" orientation="portrait" r:id="rId1"/>
  <headerFooter>
    <oddFooter>&amp;RBQ-B-P.&amp;P/&amp;N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Zeros="0" view="pageBreakPreview" topLeftCell="A4" zoomScaleNormal="100" workbookViewId="0">
      <selection activeCell="B20" sqref="B20"/>
    </sheetView>
  </sheetViews>
  <sheetFormatPr defaultColWidth="9.33203125" defaultRowHeight="12.75"/>
  <cols>
    <col min="1" max="1" width="8.83203125" style="2" customWidth="1"/>
    <col min="2" max="2" width="71.1640625" style="2" customWidth="1"/>
    <col min="3" max="3" width="9.5" style="3" customWidth="1"/>
    <col min="4" max="4" width="8" style="2" customWidth="1"/>
    <col min="5" max="5" width="13" style="4" customWidth="1"/>
    <col min="6" max="6" width="18.6640625" style="5" customWidth="1"/>
    <col min="7" max="16384" width="9.33203125" style="2"/>
  </cols>
  <sheetData>
    <row r="1" spans="1:7" ht="20.100000000000001" customHeight="1">
      <c r="A1" s="244"/>
      <c r="B1" s="7"/>
      <c r="C1" s="2"/>
      <c r="E1" s="2"/>
      <c r="F1" s="8" t="s">
        <v>0</v>
      </c>
    </row>
    <row r="2" spans="1:7" ht="20.100000000000001" customHeight="1">
      <c r="A2" s="244"/>
      <c r="B2" s="7"/>
      <c r="C2" s="2"/>
      <c r="E2" s="2"/>
      <c r="F2" s="8" t="s">
        <v>1</v>
      </c>
    </row>
    <row r="3" spans="1:7" ht="20.100000000000001" customHeight="1">
      <c r="A3" s="67"/>
      <c r="B3" s="10"/>
      <c r="C3" s="11"/>
      <c r="D3" s="11"/>
      <c r="E3" s="11"/>
      <c r="F3" s="13" t="s">
        <v>2</v>
      </c>
    </row>
    <row r="4" spans="1:7" ht="20.100000000000001" customHeight="1">
      <c r="A4" s="123" t="s">
        <v>6</v>
      </c>
      <c r="B4" s="15"/>
      <c r="C4" s="15"/>
      <c r="D4" s="245"/>
      <c r="E4" s="2"/>
      <c r="F4" s="17"/>
    </row>
    <row r="5" spans="1:7" ht="8.25" customHeight="1">
      <c r="A5" s="18"/>
      <c r="B5" s="15"/>
      <c r="C5" s="15"/>
      <c r="D5" s="15"/>
      <c r="E5" s="2"/>
      <c r="F5" s="20"/>
      <c r="G5" s="21"/>
    </row>
    <row r="6" spans="1:7" ht="20.100000000000001" customHeight="1">
      <c r="A6" s="18" t="s">
        <v>139</v>
      </c>
      <c r="B6" s="15"/>
      <c r="C6" s="19"/>
    </row>
    <row r="7" spans="1:7" ht="33" customHeight="1">
      <c r="A7" s="22" t="s">
        <v>140</v>
      </c>
      <c r="B7" s="23" t="s">
        <v>141</v>
      </c>
      <c r="C7" s="22" t="s">
        <v>142</v>
      </c>
      <c r="D7" s="22" t="s">
        <v>143</v>
      </c>
      <c r="E7" s="24" t="s">
        <v>144</v>
      </c>
      <c r="F7" s="25" t="s">
        <v>145</v>
      </c>
    </row>
    <row r="8" spans="1:7" ht="27" customHeight="1">
      <c r="A8" s="246"/>
      <c r="B8" s="27" t="s">
        <v>146</v>
      </c>
      <c r="C8" s="28"/>
      <c r="D8" s="246"/>
      <c r="E8" s="29"/>
      <c r="F8" s="30"/>
    </row>
    <row r="9" spans="1:7" ht="78.75" customHeight="1">
      <c r="A9" s="31" t="s">
        <v>147</v>
      </c>
      <c r="B9" s="32" t="s">
        <v>148</v>
      </c>
      <c r="C9" s="33"/>
      <c r="D9" s="247"/>
      <c r="E9" s="34"/>
      <c r="F9" s="35"/>
    </row>
    <row r="10" spans="1:7" ht="66.75" customHeight="1">
      <c r="A10" s="31" t="s">
        <v>147</v>
      </c>
      <c r="B10" s="36" t="s">
        <v>149</v>
      </c>
      <c r="C10" s="33"/>
      <c r="D10" s="247"/>
      <c r="E10" s="34"/>
      <c r="F10" s="35"/>
    </row>
    <row r="11" spans="1:7" ht="15" customHeight="1">
      <c r="A11" s="37"/>
      <c r="B11" s="32"/>
      <c r="C11" s="33"/>
      <c r="D11" s="247"/>
      <c r="E11" s="34"/>
      <c r="F11" s="35"/>
    </row>
    <row r="12" spans="1:7" ht="15" customHeight="1">
      <c r="A12" s="37" t="s">
        <v>150</v>
      </c>
      <c r="B12" s="32" t="s">
        <v>151</v>
      </c>
      <c r="C12" s="33"/>
      <c r="D12" s="247"/>
      <c r="E12" s="34"/>
      <c r="F12" s="35"/>
    </row>
    <row r="13" spans="1:7" ht="15" customHeight="1">
      <c r="A13" s="37"/>
      <c r="B13" s="32"/>
      <c r="C13" s="33"/>
      <c r="D13" s="247"/>
      <c r="E13" s="34"/>
      <c r="F13" s="35"/>
    </row>
    <row r="14" spans="1:7" ht="15" customHeight="1">
      <c r="A14" s="37" t="s">
        <v>152</v>
      </c>
      <c r="B14" s="342" t="s">
        <v>1340</v>
      </c>
      <c r="C14" s="33">
        <f>ROUND((3.8+4.75*3+4.9+4.75+3.8+3.4+0.8+6.45+6.9+3.6+17.4+20+4.8+11.25+2.7*5+6.6+3*3+3.27+8+6.6+3+4.4+3+3.5+4.2*2+4.5+5.45*2+4.1+15.1*2+3.1*2)*3,0)</f>
        <v>694</v>
      </c>
      <c r="D14" s="37" t="s">
        <v>153</v>
      </c>
      <c r="E14" s="34"/>
      <c r="F14" s="35">
        <f>C14*E14</f>
        <v>0</v>
      </c>
    </row>
    <row r="15" spans="1:7" ht="15" customHeight="1">
      <c r="A15" s="37"/>
      <c r="B15" s="42"/>
      <c r="C15" s="33"/>
      <c r="D15" s="37"/>
      <c r="E15" s="34"/>
      <c r="F15" s="35"/>
    </row>
    <row r="16" spans="1:7" ht="15" customHeight="1">
      <c r="A16" s="37" t="s">
        <v>154</v>
      </c>
      <c r="B16" s="342" t="s">
        <v>1341</v>
      </c>
      <c r="C16" s="33">
        <f>ROUND((3.8+4.75*7+3.4+4+18.85+4*4+18.8+3.45+6.2+0.55+8.3+5.2*4+6.9+6.9+7.45+6.5+8.75+4)*3,0)</f>
        <v>534</v>
      </c>
      <c r="D16" s="37" t="s">
        <v>153</v>
      </c>
      <c r="E16" s="34"/>
      <c r="F16" s="35">
        <f t="shared" ref="F16:F20" si="0">C16*E16</f>
        <v>0</v>
      </c>
    </row>
    <row r="17" spans="1:6" ht="15" customHeight="1">
      <c r="A17" s="37"/>
      <c r="B17" s="248"/>
      <c r="C17" s="33"/>
      <c r="D17" s="37"/>
      <c r="E17" s="34"/>
      <c r="F17" s="35"/>
    </row>
    <row r="18" spans="1:6" ht="33" customHeight="1">
      <c r="A18" s="37" t="s">
        <v>155</v>
      </c>
      <c r="B18" s="32" t="s">
        <v>156</v>
      </c>
      <c r="C18" s="33"/>
      <c r="D18" s="37"/>
      <c r="E18" s="34"/>
      <c r="F18" s="35"/>
    </row>
    <row r="19" spans="1:6" ht="18.95" customHeight="1">
      <c r="A19" s="37"/>
      <c r="B19" s="32"/>
      <c r="C19" s="33"/>
      <c r="D19" s="37"/>
      <c r="E19" s="34"/>
      <c r="F19" s="35"/>
    </row>
    <row r="20" spans="1:6" ht="26.1" customHeight="1">
      <c r="A20" s="37" t="s">
        <v>157</v>
      </c>
      <c r="B20" s="32" t="s">
        <v>158</v>
      </c>
      <c r="C20" s="33">
        <f>ROUND((8.5*2+7.6*2+6.2+7.3)*3,0)</f>
        <v>137</v>
      </c>
      <c r="D20" s="37" t="s">
        <v>153</v>
      </c>
      <c r="E20" s="34"/>
      <c r="F20" s="35">
        <f t="shared" si="0"/>
        <v>0</v>
      </c>
    </row>
    <row r="21" spans="1:6" ht="26.1" customHeight="1">
      <c r="A21" s="37"/>
      <c r="B21" s="32"/>
      <c r="C21" s="33"/>
      <c r="D21" s="37"/>
      <c r="E21" s="34"/>
      <c r="F21" s="35"/>
    </row>
    <row r="22" spans="1:6" ht="30" customHeight="1">
      <c r="A22" s="37" t="s">
        <v>159</v>
      </c>
      <c r="B22" s="32" t="s">
        <v>160</v>
      </c>
      <c r="C22" s="33">
        <f>ROUND((7.6+3.9*2)*3,0)</f>
        <v>46</v>
      </c>
      <c r="D22" s="37" t="s">
        <v>153</v>
      </c>
      <c r="E22" s="34"/>
      <c r="F22" s="35">
        <f>C22*E22</f>
        <v>0</v>
      </c>
    </row>
    <row r="23" spans="1:6" ht="26.1" customHeight="1">
      <c r="A23" s="37"/>
      <c r="B23" s="32"/>
      <c r="C23" s="33"/>
      <c r="D23" s="37"/>
      <c r="E23" s="34"/>
      <c r="F23" s="35"/>
    </row>
    <row r="24" spans="1:6" ht="30" customHeight="1">
      <c r="A24" s="37" t="s">
        <v>157</v>
      </c>
      <c r="B24" s="32" t="s">
        <v>161</v>
      </c>
      <c r="C24" s="33">
        <f>ROUND(7.9*3,0)</f>
        <v>24</v>
      </c>
      <c r="D24" s="37" t="s">
        <v>153</v>
      </c>
      <c r="E24" s="34"/>
      <c r="F24" s="35">
        <f>C24*E24</f>
        <v>0</v>
      </c>
    </row>
    <row r="25" spans="1:6" ht="20.100000000000001" customHeight="1">
      <c r="A25" s="37"/>
      <c r="B25" s="42"/>
      <c r="C25" s="33"/>
      <c r="D25" s="37"/>
      <c r="E25" s="34"/>
      <c r="F25" s="35">
        <f>C25*E25</f>
        <v>0</v>
      </c>
    </row>
    <row r="26" spans="1:6" ht="30" customHeight="1">
      <c r="A26" s="37" t="s">
        <v>162</v>
      </c>
      <c r="B26" s="32" t="s">
        <v>163</v>
      </c>
      <c r="C26" s="33">
        <f>(C20+C22+C24)*2</f>
        <v>414</v>
      </c>
      <c r="D26" s="37" t="s">
        <v>153</v>
      </c>
      <c r="E26" s="34"/>
      <c r="F26" s="35">
        <f>C26*E26</f>
        <v>0</v>
      </c>
    </row>
    <row r="27" spans="1:6" ht="15" customHeight="1">
      <c r="A27" s="32"/>
      <c r="B27" s="249"/>
      <c r="C27" s="250"/>
      <c r="D27" s="250"/>
      <c r="E27" s="251"/>
      <c r="F27" s="35"/>
    </row>
    <row r="28" spans="1:6" ht="15" customHeight="1">
      <c r="A28" s="54"/>
      <c r="B28" s="252"/>
      <c r="C28" s="253"/>
      <c r="D28" s="254"/>
      <c r="E28" s="255"/>
      <c r="F28" s="59"/>
    </row>
    <row r="29" spans="1:6" ht="22.7" customHeight="1">
      <c r="A29" s="466" t="s">
        <v>164</v>
      </c>
      <c r="B29" s="467"/>
      <c r="C29" s="468"/>
      <c r="D29" s="467"/>
      <c r="E29" s="468"/>
      <c r="F29" s="60">
        <f>SUM(F17:F28)</f>
        <v>0</v>
      </c>
    </row>
  </sheetData>
  <mergeCells count="1">
    <mergeCell ref="A29:E29"/>
  </mergeCells>
  <phoneticPr fontId="34" type="noConversion"/>
  <printOptions horizontalCentered="1"/>
  <pageMargins left="0.55118110236220497" right="0.35433070866141703" top="0.98425196850393704" bottom="0.98425196850393704" header="0.511811023622047" footer="0.511811023622047"/>
  <pageSetup paperSize="9" scale="80" orientation="portrait" r:id="rId1"/>
  <headerFooter>
    <oddFooter>&amp;RBQ-C-P.&amp;P/&amp;N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3"/>
  <sheetViews>
    <sheetView showZeros="0" view="pageBreakPreview" topLeftCell="A43" zoomScaleNormal="85" workbookViewId="0">
      <selection activeCell="B58" sqref="B58"/>
    </sheetView>
  </sheetViews>
  <sheetFormatPr defaultColWidth="9.33203125" defaultRowHeight="13.5"/>
  <cols>
    <col min="1" max="1" width="10.6640625" style="61" customWidth="1"/>
    <col min="2" max="2" width="71.1640625" style="61" customWidth="1"/>
    <col min="3" max="3" width="9.5" style="166" customWidth="1"/>
    <col min="4" max="4" width="8" style="61" customWidth="1"/>
    <col min="5" max="5" width="13" style="63" customWidth="1"/>
    <col min="6" max="6" width="18.6640625" style="64" customWidth="1"/>
    <col min="7" max="16384" width="9.33203125" style="61"/>
  </cols>
  <sheetData>
    <row r="1" spans="1:7" ht="20.100000000000001" customHeight="1">
      <c r="A1" s="6"/>
      <c r="B1" s="65"/>
      <c r="C1" s="61"/>
      <c r="E1" s="61"/>
      <c r="F1" s="66" t="s">
        <v>0</v>
      </c>
    </row>
    <row r="2" spans="1:7" ht="20.100000000000001" customHeight="1">
      <c r="A2" s="6"/>
      <c r="B2" s="65"/>
      <c r="C2" s="61"/>
      <c r="E2" s="61"/>
      <c r="F2" s="66" t="s">
        <v>1342</v>
      </c>
    </row>
    <row r="3" spans="1:7" ht="20.100000000000001" customHeight="1">
      <c r="A3" s="67"/>
      <c r="B3" s="68"/>
      <c r="C3" s="69"/>
      <c r="D3" s="69"/>
      <c r="E3" s="69"/>
      <c r="F3" s="71" t="s">
        <v>2</v>
      </c>
    </row>
    <row r="4" spans="1:7" ht="20.100000000000001" customHeight="1">
      <c r="A4" s="72" t="s">
        <v>6</v>
      </c>
      <c r="B4" s="73"/>
      <c r="C4" s="73"/>
      <c r="D4" s="167"/>
      <c r="E4" s="61"/>
      <c r="F4" s="75"/>
    </row>
    <row r="5" spans="1:7" ht="8.25" customHeight="1">
      <c r="A5" s="18"/>
      <c r="B5" s="73"/>
      <c r="C5" s="73"/>
      <c r="D5" s="73"/>
      <c r="E5" s="61"/>
      <c r="F5" s="176"/>
      <c r="G5" s="177"/>
    </row>
    <row r="6" spans="1:7" ht="20.100000000000001" customHeight="1">
      <c r="A6" s="18" t="s">
        <v>165</v>
      </c>
      <c r="B6" s="73"/>
      <c r="C6" s="76"/>
    </row>
    <row r="7" spans="1:7" ht="33" customHeight="1">
      <c r="A7" s="22" t="s">
        <v>166</v>
      </c>
      <c r="B7" s="23" t="s">
        <v>167</v>
      </c>
      <c r="C7" s="22" t="s">
        <v>168</v>
      </c>
      <c r="D7" s="22" t="s">
        <v>1343</v>
      </c>
      <c r="E7" s="78" t="s">
        <v>1344</v>
      </c>
      <c r="F7" s="79" t="s">
        <v>145</v>
      </c>
    </row>
    <row r="8" spans="1:7" ht="27" customHeight="1">
      <c r="A8" s="26"/>
      <c r="B8" s="27" t="s">
        <v>170</v>
      </c>
      <c r="C8" s="80"/>
      <c r="D8" s="26"/>
      <c r="E8" s="81"/>
      <c r="F8" s="82"/>
    </row>
    <row r="9" spans="1:7" ht="78.75" customHeight="1">
      <c r="A9" s="31" t="s">
        <v>171</v>
      </c>
      <c r="B9" s="32" t="s">
        <v>172</v>
      </c>
      <c r="C9" s="40"/>
      <c r="D9" s="231"/>
      <c r="E9" s="41"/>
      <c r="F9" s="83"/>
    </row>
    <row r="10" spans="1:7" ht="66.75" customHeight="1">
      <c r="A10" s="31" t="s">
        <v>171</v>
      </c>
      <c r="B10" s="84" t="s">
        <v>149</v>
      </c>
      <c r="C10" s="40"/>
      <c r="D10" s="231"/>
      <c r="E10" s="41"/>
      <c r="F10" s="83"/>
    </row>
    <row r="11" spans="1:7" ht="15" customHeight="1">
      <c r="A11" s="37"/>
      <c r="B11" s="32"/>
      <c r="C11" s="40"/>
      <c r="D11" s="231"/>
      <c r="E11" s="41"/>
      <c r="F11" s="83"/>
    </row>
    <row r="12" spans="1:7" ht="15" customHeight="1">
      <c r="A12" s="37" t="s">
        <v>173</v>
      </c>
      <c r="B12" s="49" t="s">
        <v>174</v>
      </c>
      <c r="C12" s="40"/>
      <c r="D12" s="231"/>
      <c r="E12" s="41"/>
      <c r="F12" s="83"/>
    </row>
    <row r="13" spans="1:7" ht="15" customHeight="1">
      <c r="A13" s="37"/>
      <c r="B13" s="32"/>
      <c r="C13" s="40"/>
      <c r="D13" s="231"/>
      <c r="E13" s="41"/>
      <c r="F13" s="83"/>
    </row>
    <row r="14" spans="1:7" ht="15" customHeight="1">
      <c r="A14" s="37" t="s">
        <v>175</v>
      </c>
      <c r="B14" s="42" t="s">
        <v>176</v>
      </c>
      <c r="C14" s="40"/>
      <c r="D14" s="37"/>
      <c r="E14" s="41"/>
      <c r="F14" s="83"/>
    </row>
    <row r="15" spans="1:7" ht="102.95" customHeight="1">
      <c r="A15" s="37"/>
      <c r="B15" s="32" t="s">
        <v>177</v>
      </c>
      <c r="C15" s="40">
        <v>360</v>
      </c>
      <c r="D15" s="37" t="s">
        <v>153</v>
      </c>
      <c r="E15" s="41"/>
      <c r="F15" s="83">
        <f>C15*E15</f>
        <v>0</v>
      </c>
    </row>
    <row r="16" spans="1:7" ht="15" customHeight="1">
      <c r="A16" s="37"/>
      <c r="B16" s="42"/>
      <c r="C16" s="40"/>
      <c r="D16" s="37"/>
      <c r="E16" s="41"/>
      <c r="F16" s="83"/>
    </row>
    <row r="17" spans="1:6" ht="15" customHeight="1">
      <c r="A17" s="37" t="s">
        <v>178</v>
      </c>
      <c r="B17" s="42" t="s">
        <v>179</v>
      </c>
      <c r="C17" s="40"/>
      <c r="D17" s="37"/>
      <c r="E17" s="41"/>
      <c r="F17" s="83"/>
    </row>
    <row r="18" spans="1:6" ht="57" customHeight="1">
      <c r="A18" s="37"/>
      <c r="B18" s="32" t="s">
        <v>180</v>
      </c>
      <c r="C18" s="40">
        <v>43</v>
      </c>
      <c r="D18" s="37" t="s">
        <v>153</v>
      </c>
      <c r="E18" s="41"/>
      <c r="F18" s="83">
        <f>C18*E18</f>
        <v>0</v>
      </c>
    </row>
    <row r="19" spans="1:6" ht="15" customHeight="1">
      <c r="A19" s="37"/>
      <c r="B19" s="42"/>
      <c r="C19" s="40"/>
      <c r="D19" s="37"/>
      <c r="E19" s="41"/>
      <c r="F19" s="83"/>
    </row>
    <row r="20" spans="1:6" ht="15" customHeight="1">
      <c r="A20" s="37" t="s">
        <v>181</v>
      </c>
      <c r="B20" s="42" t="s">
        <v>182</v>
      </c>
      <c r="C20" s="40"/>
      <c r="D20" s="37"/>
      <c r="E20" s="41"/>
      <c r="F20" s="83"/>
    </row>
    <row r="21" spans="1:6" ht="57" customHeight="1">
      <c r="A21" s="37"/>
      <c r="B21" s="339" t="s">
        <v>1349</v>
      </c>
      <c r="C21" s="40">
        <v>30</v>
      </c>
      <c r="D21" s="37" t="s">
        <v>153</v>
      </c>
      <c r="E21" s="41"/>
      <c r="F21" s="83">
        <f>C21*E21</f>
        <v>0</v>
      </c>
    </row>
    <row r="22" spans="1:6" ht="15" customHeight="1">
      <c r="A22" s="37"/>
      <c r="B22" s="42"/>
      <c r="C22" s="40"/>
      <c r="D22" s="37"/>
      <c r="E22" s="41"/>
      <c r="F22" s="83"/>
    </row>
    <row r="23" spans="1:6" ht="15" customHeight="1">
      <c r="A23" s="37" t="s">
        <v>183</v>
      </c>
      <c r="B23" s="42" t="s">
        <v>184</v>
      </c>
      <c r="C23" s="40"/>
      <c r="D23" s="37"/>
      <c r="E23" s="41"/>
      <c r="F23" s="83"/>
    </row>
    <row r="24" spans="1:6" ht="120" customHeight="1">
      <c r="A24" s="37"/>
      <c r="B24" s="32" t="s">
        <v>1345</v>
      </c>
      <c r="C24" s="40">
        <f>19+19+22</f>
        <v>60</v>
      </c>
      <c r="D24" s="37" t="s">
        <v>153</v>
      </c>
      <c r="E24" s="41"/>
      <c r="F24" s="83">
        <f>C24*E24</f>
        <v>0</v>
      </c>
    </row>
    <row r="25" spans="1:6" ht="15" customHeight="1">
      <c r="A25" s="44"/>
      <c r="B25" s="45"/>
      <c r="C25" s="46"/>
      <c r="D25" s="44"/>
      <c r="E25" s="47"/>
      <c r="F25" s="107"/>
    </row>
    <row r="26" spans="1:6" ht="15" customHeight="1">
      <c r="A26" s="37" t="s">
        <v>185</v>
      </c>
      <c r="B26" s="42" t="s">
        <v>186</v>
      </c>
      <c r="C26" s="40"/>
      <c r="D26" s="37"/>
      <c r="E26" s="41"/>
      <c r="F26" s="83"/>
    </row>
    <row r="27" spans="1:6" ht="120" customHeight="1">
      <c r="A27" s="37"/>
      <c r="B27" s="32" t="s">
        <v>1345</v>
      </c>
      <c r="C27" s="40">
        <v>3</v>
      </c>
      <c r="D27" s="37" t="s">
        <v>153</v>
      </c>
      <c r="E27" s="41"/>
      <c r="F27" s="83">
        <f t="shared" ref="F27:F32" si="0">C27*E27</f>
        <v>0</v>
      </c>
    </row>
    <row r="28" spans="1:6" ht="15" customHeight="1">
      <c r="A28" s="37"/>
      <c r="B28" s="42"/>
      <c r="C28" s="40"/>
      <c r="D28" s="37"/>
      <c r="E28" s="41"/>
      <c r="F28" s="83"/>
    </row>
    <row r="29" spans="1:6" ht="135">
      <c r="A29" s="233" t="s">
        <v>187</v>
      </c>
      <c r="B29" s="236" t="s">
        <v>1346</v>
      </c>
      <c r="C29" s="232"/>
      <c r="D29" s="233"/>
      <c r="E29" s="234"/>
      <c r="F29" s="235"/>
    </row>
    <row r="30" spans="1:6" ht="15" customHeight="1">
      <c r="A30" s="233"/>
      <c r="B30" s="236" t="s">
        <v>188</v>
      </c>
      <c r="C30" s="232">
        <f>15*3</f>
        <v>45</v>
      </c>
      <c r="D30" s="233" t="s">
        <v>153</v>
      </c>
      <c r="E30" s="234"/>
      <c r="F30" s="235">
        <f t="shared" si="0"/>
        <v>0</v>
      </c>
    </row>
    <row r="31" spans="1:6" ht="15" customHeight="1">
      <c r="A31" s="233"/>
      <c r="B31" s="236" t="s">
        <v>189</v>
      </c>
      <c r="C31" s="232">
        <v>16</v>
      </c>
      <c r="D31" s="233" t="s">
        <v>153</v>
      </c>
      <c r="E31" s="234"/>
      <c r="F31" s="235">
        <f t="shared" si="0"/>
        <v>0</v>
      </c>
    </row>
    <row r="32" spans="1:6" ht="15" customHeight="1">
      <c r="A32" s="233"/>
      <c r="B32" s="236" t="s">
        <v>190</v>
      </c>
      <c r="C32" s="232">
        <f>22*2</f>
        <v>44</v>
      </c>
      <c r="D32" s="233" t="s">
        <v>153</v>
      </c>
      <c r="E32" s="234"/>
      <c r="F32" s="235">
        <f t="shared" si="0"/>
        <v>0</v>
      </c>
    </row>
    <row r="33" spans="1:6" ht="15" customHeight="1">
      <c r="A33" s="37"/>
      <c r="B33" s="42"/>
      <c r="C33" s="40"/>
      <c r="D33" s="37"/>
      <c r="E33" s="41"/>
      <c r="F33" s="83"/>
    </row>
    <row r="34" spans="1:6" ht="15" customHeight="1">
      <c r="A34" s="37"/>
      <c r="B34" s="42"/>
      <c r="C34" s="40"/>
      <c r="D34" s="37"/>
      <c r="E34" s="41"/>
      <c r="F34" s="83"/>
    </row>
    <row r="35" spans="1:6" ht="15" customHeight="1">
      <c r="A35" s="37" t="s">
        <v>191</v>
      </c>
      <c r="B35" s="49" t="s">
        <v>192</v>
      </c>
      <c r="C35" s="40"/>
      <c r="D35" s="231"/>
      <c r="E35" s="41"/>
      <c r="F35" s="83"/>
    </row>
    <row r="36" spans="1:6" ht="15" customHeight="1">
      <c r="A36" s="37"/>
      <c r="B36" s="49"/>
      <c r="C36" s="40"/>
      <c r="D36" s="231"/>
      <c r="E36" s="41"/>
      <c r="F36" s="83"/>
    </row>
    <row r="37" spans="1:6" ht="15" customHeight="1">
      <c r="A37" s="37" t="s">
        <v>193</v>
      </c>
      <c r="B37" s="42" t="s">
        <v>194</v>
      </c>
      <c r="C37" s="40"/>
      <c r="D37" s="37"/>
      <c r="E37" s="41"/>
      <c r="F37" s="83"/>
    </row>
    <row r="38" spans="1:6" ht="131.1" customHeight="1">
      <c r="A38" s="37"/>
      <c r="B38" s="32" t="s">
        <v>1347</v>
      </c>
      <c r="C38" s="40">
        <f>ROUND((3.8*5.1+5.9*3.8+4.6*4.45),0)</f>
        <v>62</v>
      </c>
      <c r="D38" s="37" t="s">
        <v>153</v>
      </c>
      <c r="E38" s="41"/>
      <c r="F38" s="83">
        <f>C38*E38</f>
        <v>0</v>
      </c>
    </row>
    <row r="39" spans="1:6" ht="15" customHeight="1">
      <c r="A39" s="37"/>
      <c r="B39" s="49"/>
      <c r="C39" s="40"/>
      <c r="D39" s="231"/>
      <c r="E39" s="41"/>
      <c r="F39" s="83"/>
    </row>
    <row r="40" spans="1:6" ht="15" customHeight="1">
      <c r="A40" s="37" t="s">
        <v>195</v>
      </c>
      <c r="B40" s="42" t="s">
        <v>196</v>
      </c>
      <c r="C40" s="40"/>
      <c r="D40" s="37"/>
      <c r="E40" s="41"/>
      <c r="F40" s="83"/>
    </row>
    <row r="41" spans="1:6" ht="67.5">
      <c r="A41" s="37"/>
      <c r="B41" s="32" t="s">
        <v>197</v>
      </c>
      <c r="C41" s="40">
        <v>197</v>
      </c>
      <c r="D41" s="37" t="s">
        <v>153</v>
      </c>
      <c r="E41" s="41"/>
      <c r="F41" s="83">
        <f>C41*E41</f>
        <v>0</v>
      </c>
    </row>
    <row r="42" spans="1:6" ht="15" customHeight="1">
      <c r="A42" s="37"/>
      <c r="B42" s="42"/>
      <c r="C42" s="40"/>
      <c r="D42" s="37"/>
      <c r="E42" s="41"/>
      <c r="F42" s="83"/>
    </row>
    <row r="43" spans="1:6" ht="15" customHeight="1">
      <c r="A43" s="37" t="s">
        <v>198</v>
      </c>
      <c r="B43" s="49" t="s">
        <v>199</v>
      </c>
      <c r="C43" s="40"/>
      <c r="D43" s="231"/>
      <c r="E43" s="41"/>
      <c r="F43" s="83"/>
    </row>
    <row r="44" spans="1:6" ht="15" customHeight="1">
      <c r="A44" s="37"/>
      <c r="B44" s="49"/>
      <c r="C44" s="40"/>
      <c r="D44" s="231"/>
      <c r="E44" s="41"/>
      <c r="F44" s="83"/>
    </row>
    <row r="45" spans="1:6" ht="15" customHeight="1">
      <c r="A45" s="37" t="s">
        <v>200</v>
      </c>
      <c r="B45" s="42" t="s">
        <v>201</v>
      </c>
      <c r="C45" s="40"/>
      <c r="D45" s="37"/>
      <c r="E45" s="41"/>
      <c r="F45" s="83"/>
    </row>
    <row r="46" spans="1:6" ht="131.1" customHeight="1">
      <c r="A46" s="37"/>
      <c r="B46" s="32" t="s">
        <v>1347</v>
      </c>
      <c r="C46" s="40">
        <f>6+5+5</f>
        <v>16</v>
      </c>
      <c r="D46" s="37" t="s">
        <v>153</v>
      </c>
      <c r="E46" s="41"/>
      <c r="F46" s="83">
        <f>C46*E46</f>
        <v>0</v>
      </c>
    </row>
    <row r="47" spans="1:6" ht="15" customHeight="1">
      <c r="A47" s="44"/>
      <c r="B47" s="224"/>
      <c r="C47" s="46"/>
      <c r="D47" s="241"/>
      <c r="E47" s="47"/>
      <c r="F47" s="107"/>
    </row>
    <row r="48" spans="1:6" ht="15" customHeight="1">
      <c r="A48" s="37" t="s">
        <v>202</v>
      </c>
      <c r="B48" s="42" t="s">
        <v>203</v>
      </c>
      <c r="C48" s="40"/>
      <c r="D48" s="37"/>
      <c r="E48" s="41"/>
      <c r="F48" s="83"/>
    </row>
    <row r="49" spans="1:6" ht="84" customHeight="1">
      <c r="A49" s="37"/>
      <c r="B49" s="32" t="s">
        <v>204</v>
      </c>
      <c r="C49" s="40">
        <v>229</v>
      </c>
      <c r="D49" s="37" t="s">
        <v>153</v>
      </c>
      <c r="E49" s="41"/>
      <c r="F49" s="83">
        <f>C49*E49</f>
        <v>0</v>
      </c>
    </row>
    <row r="50" spans="1:6" ht="15" customHeight="1">
      <c r="A50" s="37"/>
      <c r="B50" s="42"/>
      <c r="C50" s="40"/>
      <c r="D50" s="37"/>
      <c r="E50" s="41"/>
      <c r="F50" s="83"/>
    </row>
    <row r="51" spans="1:6" ht="15" customHeight="1">
      <c r="A51" s="37" t="s">
        <v>205</v>
      </c>
      <c r="B51" s="49" t="s">
        <v>206</v>
      </c>
      <c r="C51" s="40"/>
      <c r="D51" s="231"/>
      <c r="E51" s="41"/>
      <c r="F51" s="83"/>
    </row>
    <row r="52" spans="1:6" ht="15" customHeight="1">
      <c r="A52" s="37"/>
      <c r="B52" s="49"/>
      <c r="C52" s="40"/>
      <c r="D52" s="231"/>
      <c r="E52" s="41"/>
      <c r="F52" s="83"/>
    </row>
    <row r="53" spans="1:6" ht="153" customHeight="1">
      <c r="A53" s="37" t="s">
        <v>207</v>
      </c>
      <c r="B53" s="32" t="s">
        <v>1347</v>
      </c>
      <c r="C53" s="40"/>
      <c r="D53" s="37"/>
      <c r="E53" s="41"/>
      <c r="F53" s="83"/>
    </row>
    <row r="54" spans="1:6" ht="15" customHeight="1">
      <c r="A54" s="37" t="s">
        <v>208</v>
      </c>
      <c r="B54" s="32" t="s">
        <v>209</v>
      </c>
      <c r="C54" s="40">
        <v>11</v>
      </c>
      <c r="D54" s="37" t="s">
        <v>153</v>
      </c>
      <c r="E54" s="41"/>
      <c r="F54" s="83">
        <f t="shared" ref="F54:F65" si="1">C54*E54</f>
        <v>0</v>
      </c>
    </row>
    <row r="55" spans="1:6" ht="15" customHeight="1">
      <c r="A55" s="37" t="s">
        <v>210</v>
      </c>
      <c r="B55" s="32" t="s">
        <v>211</v>
      </c>
      <c r="C55" s="40">
        <v>11</v>
      </c>
      <c r="D55" s="37" t="s">
        <v>153</v>
      </c>
      <c r="E55" s="41"/>
      <c r="F55" s="83">
        <f t="shared" si="1"/>
        <v>0</v>
      </c>
    </row>
    <row r="56" spans="1:6" ht="15" customHeight="1">
      <c r="A56" s="37" t="s">
        <v>212</v>
      </c>
      <c r="B56" s="32" t="s">
        <v>213</v>
      </c>
      <c r="C56" s="40">
        <v>30</v>
      </c>
      <c r="D56" s="37" t="s">
        <v>153</v>
      </c>
      <c r="E56" s="41"/>
      <c r="F56" s="83">
        <f t="shared" si="1"/>
        <v>0</v>
      </c>
    </row>
    <row r="57" spans="1:6" ht="15" customHeight="1">
      <c r="A57" s="37" t="s">
        <v>214</v>
      </c>
      <c r="B57" s="32" t="s">
        <v>215</v>
      </c>
      <c r="C57" s="40">
        <v>16</v>
      </c>
      <c r="D57" s="37" t="s">
        <v>153</v>
      </c>
      <c r="E57" s="41"/>
      <c r="F57" s="83">
        <f t="shared" si="1"/>
        <v>0</v>
      </c>
    </row>
    <row r="58" spans="1:6" ht="15" customHeight="1">
      <c r="A58" s="37" t="s">
        <v>216</v>
      </c>
      <c r="B58" s="32" t="s">
        <v>217</v>
      </c>
      <c r="C58" s="40">
        <v>44</v>
      </c>
      <c r="D58" s="37" t="s">
        <v>153</v>
      </c>
      <c r="E58" s="41"/>
      <c r="F58" s="83">
        <f t="shared" si="1"/>
        <v>0</v>
      </c>
    </row>
    <row r="59" spans="1:6" ht="15" customHeight="1">
      <c r="A59" s="37" t="s">
        <v>218</v>
      </c>
      <c r="B59" s="32" t="s">
        <v>219</v>
      </c>
      <c r="C59" s="40">
        <v>14</v>
      </c>
      <c r="D59" s="37" t="s">
        <v>153</v>
      </c>
      <c r="E59" s="41"/>
      <c r="F59" s="83">
        <f t="shared" si="1"/>
        <v>0</v>
      </c>
    </row>
    <row r="60" spans="1:6" ht="15" customHeight="1">
      <c r="A60" s="37" t="s">
        <v>220</v>
      </c>
      <c r="B60" s="32" t="s">
        <v>221</v>
      </c>
      <c r="C60" s="40">
        <v>15</v>
      </c>
      <c r="D60" s="37" t="s">
        <v>153</v>
      </c>
      <c r="E60" s="41"/>
      <c r="F60" s="83">
        <f t="shared" si="1"/>
        <v>0</v>
      </c>
    </row>
    <row r="61" spans="1:6" ht="15" customHeight="1">
      <c r="A61" s="37" t="s">
        <v>222</v>
      </c>
      <c r="B61" s="32" t="s">
        <v>217</v>
      </c>
      <c r="C61" s="40">
        <v>33</v>
      </c>
      <c r="D61" s="37" t="s">
        <v>153</v>
      </c>
      <c r="E61" s="41"/>
      <c r="F61" s="83">
        <f t="shared" si="1"/>
        <v>0</v>
      </c>
    </row>
    <row r="62" spans="1:6" ht="15" customHeight="1">
      <c r="A62" s="37" t="s">
        <v>223</v>
      </c>
      <c r="B62" s="32" t="s">
        <v>215</v>
      </c>
      <c r="C62" s="40">
        <v>15</v>
      </c>
      <c r="D62" s="37" t="s">
        <v>153</v>
      </c>
      <c r="E62" s="41"/>
      <c r="F62" s="83">
        <f t="shared" si="1"/>
        <v>0</v>
      </c>
    </row>
    <row r="63" spans="1:6" ht="15" customHeight="1">
      <c r="A63" s="37" t="s">
        <v>224</v>
      </c>
      <c r="B63" s="32" t="s">
        <v>225</v>
      </c>
      <c r="C63" s="40">
        <f>12*3</f>
        <v>36</v>
      </c>
      <c r="D63" s="37" t="s">
        <v>153</v>
      </c>
      <c r="E63" s="41"/>
      <c r="F63" s="83">
        <f t="shared" si="1"/>
        <v>0</v>
      </c>
    </row>
    <row r="64" spans="1:6" ht="15" customHeight="1">
      <c r="A64" s="37" t="s">
        <v>226</v>
      </c>
      <c r="B64" s="32" t="s">
        <v>227</v>
      </c>
      <c r="C64" s="40">
        <v>22</v>
      </c>
      <c r="D64" s="37" t="s">
        <v>153</v>
      </c>
      <c r="E64" s="41"/>
      <c r="F64" s="83">
        <f t="shared" si="1"/>
        <v>0</v>
      </c>
    </row>
    <row r="65" spans="1:6" ht="15" customHeight="1">
      <c r="A65" s="37" t="s">
        <v>228</v>
      </c>
      <c r="B65" s="32" t="s">
        <v>229</v>
      </c>
      <c r="C65" s="40">
        <v>7</v>
      </c>
      <c r="D65" s="37" t="s">
        <v>153</v>
      </c>
      <c r="E65" s="41"/>
      <c r="F65" s="83">
        <f t="shared" si="1"/>
        <v>0</v>
      </c>
    </row>
    <row r="66" spans="1:6" ht="15" customHeight="1">
      <c r="A66" s="37"/>
      <c r="B66" s="49"/>
      <c r="C66" s="40"/>
      <c r="D66" s="231"/>
      <c r="E66" s="41"/>
      <c r="F66" s="83"/>
    </row>
    <row r="67" spans="1:6" ht="15" customHeight="1">
      <c r="A67" s="37" t="s">
        <v>230</v>
      </c>
      <c r="B67" s="42" t="s">
        <v>231</v>
      </c>
      <c r="C67" s="40"/>
      <c r="D67" s="37"/>
      <c r="E67" s="41"/>
      <c r="F67" s="83"/>
    </row>
    <row r="68" spans="1:6" ht="108.95" customHeight="1">
      <c r="A68" s="37"/>
      <c r="B68" s="32" t="s">
        <v>232</v>
      </c>
      <c r="C68" s="40">
        <v>119</v>
      </c>
      <c r="D68" s="37" t="s">
        <v>153</v>
      </c>
      <c r="E68" s="41"/>
      <c r="F68" s="83">
        <f>C68*E68</f>
        <v>0</v>
      </c>
    </row>
    <row r="69" spans="1:6" ht="15" customHeight="1">
      <c r="A69" s="37" t="s">
        <v>233</v>
      </c>
      <c r="B69" s="42" t="s">
        <v>234</v>
      </c>
      <c r="C69" s="40"/>
      <c r="D69" s="37"/>
      <c r="E69" s="41"/>
      <c r="F69" s="83"/>
    </row>
    <row r="70" spans="1:6" ht="72.95" customHeight="1">
      <c r="A70" s="37"/>
      <c r="B70" s="32" t="s">
        <v>235</v>
      </c>
      <c r="C70" s="40">
        <v>68</v>
      </c>
      <c r="D70" s="37" t="s">
        <v>153</v>
      </c>
      <c r="E70" s="41"/>
      <c r="F70" s="83">
        <f>C70*E70</f>
        <v>0</v>
      </c>
    </row>
    <row r="71" spans="1:6" ht="18.95" customHeight="1">
      <c r="A71" s="44"/>
      <c r="B71" s="45"/>
      <c r="C71" s="46"/>
      <c r="D71" s="44"/>
      <c r="E71" s="47"/>
      <c r="F71" s="107"/>
    </row>
    <row r="72" spans="1:6" ht="15" customHeight="1">
      <c r="A72" s="37" t="s">
        <v>236</v>
      </c>
      <c r="B72" s="49" t="s">
        <v>237</v>
      </c>
      <c r="C72" s="40"/>
      <c r="D72" s="231"/>
      <c r="E72" s="41"/>
      <c r="F72" s="83"/>
    </row>
    <row r="73" spans="1:6" ht="15" customHeight="1">
      <c r="A73" s="37"/>
      <c r="B73" s="49"/>
      <c r="C73" s="40"/>
      <c r="D73" s="231"/>
      <c r="E73" s="41"/>
      <c r="F73" s="83"/>
    </row>
    <row r="74" spans="1:6" ht="128.1" customHeight="1">
      <c r="A74" s="37" t="s">
        <v>238</v>
      </c>
      <c r="B74" s="32" t="s">
        <v>1347</v>
      </c>
      <c r="C74" s="40"/>
      <c r="D74" s="37"/>
      <c r="E74" s="41"/>
      <c r="F74" s="83"/>
    </row>
    <row r="75" spans="1:6" ht="26.1" customHeight="1">
      <c r="A75" s="37" t="s">
        <v>239</v>
      </c>
      <c r="B75" s="32" t="s">
        <v>240</v>
      </c>
      <c r="C75" s="40">
        <f>12*2</f>
        <v>24</v>
      </c>
      <c r="D75" s="37" t="s">
        <v>153</v>
      </c>
      <c r="E75" s="41"/>
      <c r="F75" s="83">
        <f>C75*E75</f>
        <v>0</v>
      </c>
    </row>
    <row r="76" spans="1:6" ht="26.1" customHeight="1">
      <c r="A76" s="37" t="s">
        <v>241</v>
      </c>
      <c r="B76" s="32" t="s">
        <v>242</v>
      </c>
      <c r="C76" s="40">
        <f>13*2</f>
        <v>26</v>
      </c>
      <c r="D76" s="37" t="s">
        <v>153</v>
      </c>
      <c r="E76" s="41"/>
      <c r="F76" s="83">
        <f>C76*E76</f>
        <v>0</v>
      </c>
    </row>
    <row r="77" spans="1:6" ht="26.1" customHeight="1">
      <c r="A77" s="37"/>
      <c r="B77" s="32"/>
      <c r="C77" s="40"/>
      <c r="D77" s="37"/>
      <c r="E77" s="41"/>
      <c r="F77" s="83"/>
    </row>
    <row r="78" spans="1:6" ht="26.1" customHeight="1">
      <c r="A78" s="233" t="s">
        <v>243</v>
      </c>
      <c r="B78" s="237" t="s">
        <v>244</v>
      </c>
      <c r="C78" s="232"/>
      <c r="D78" s="238"/>
      <c r="E78" s="234"/>
      <c r="F78" s="235"/>
    </row>
    <row r="79" spans="1:6" ht="17.100000000000001" customHeight="1">
      <c r="A79" s="233"/>
      <c r="B79" s="237"/>
      <c r="C79" s="232"/>
      <c r="D79" s="238"/>
      <c r="E79" s="234"/>
      <c r="F79" s="235"/>
    </row>
    <row r="80" spans="1:6" ht="129" customHeight="1">
      <c r="A80" s="233" t="s">
        <v>245</v>
      </c>
      <c r="B80" s="236" t="s">
        <v>1346</v>
      </c>
      <c r="C80" s="232"/>
      <c r="D80" s="233"/>
      <c r="E80" s="234"/>
      <c r="F80" s="235"/>
    </row>
    <row r="81" spans="1:6" ht="26.1" customHeight="1">
      <c r="A81" s="233"/>
      <c r="B81" s="236" t="s">
        <v>246</v>
      </c>
      <c r="C81" s="232">
        <v>17</v>
      </c>
      <c r="D81" s="233" t="s">
        <v>153</v>
      </c>
      <c r="E81" s="234"/>
      <c r="F81" s="235">
        <f t="shared" ref="F81:F83" si="2">C81*E81</f>
        <v>0</v>
      </c>
    </row>
    <row r="82" spans="1:6" ht="26.1" customHeight="1">
      <c r="A82" s="233"/>
      <c r="B82" s="236" t="s">
        <v>247</v>
      </c>
      <c r="C82" s="232">
        <v>14</v>
      </c>
      <c r="D82" s="233" t="s">
        <v>153</v>
      </c>
      <c r="E82" s="234"/>
      <c r="F82" s="235">
        <f t="shared" si="2"/>
        <v>0</v>
      </c>
    </row>
    <row r="83" spans="1:6" ht="26.1" customHeight="1">
      <c r="A83" s="233"/>
      <c r="B83" s="236" t="s">
        <v>248</v>
      </c>
      <c r="C83" s="232">
        <v>9</v>
      </c>
      <c r="D83" s="233" t="s">
        <v>153</v>
      </c>
      <c r="E83" s="234"/>
      <c r="F83" s="235">
        <f t="shared" si="2"/>
        <v>0</v>
      </c>
    </row>
    <row r="84" spans="1:6" ht="26.1" customHeight="1">
      <c r="A84" s="37"/>
      <c r="B84" s="32"/>
      <c r="C84" s="40"/>
      <c r="D84" s="37"/>
      <c r="E84" s="41"/>
      <c r="F84" s="83"/>
    </row>
    <row r="85" spans="1:6" ht="15" customHeight="1">
      <c r="A85" s="37" t="s">
        <v>249</v>
      </c>
      <c r="B85" s="49" t="s">
        <v>250</v>
      </c>
      <c r="C85" s="40"/>
      <c r="D85" s="231"/>
      <c r="E85" s="41"/>
      <c r="F85" s="83"/>
    </row>
    <row r="86" spans="1:6" ht="15" customHeight="1">
      <c r="A86" s="37"/>
      <c r="B86" s="32"/>
      <c r="C86" s="40"/>
      <c r="D86" s="231"/>
      <c r="E86" s="41"/>
      <c r="F86" s="83"/>
    </row>
    <row r="87" spans="1:6" ht="15" customHeight="1">
      <c r="A87" s="37" t="s">
        <v>251</v>
      </c>
      <c r="B87" s="42" t="s">
        <v>252</v>
      </c>
      <c r="C87" s="40"/>
      <c r="D87" s="37"/>
      <c r="E87" s="41"/>
      <c r="F87" s="83"/>
    </row>
    <row r="88" spans="1:6" ht="102.95" customHeight="1">
      <c r="A88" s="37"/>
      <c r="B88" s="32" t="s">
        <v>177</v>
      </c>
      <c r="C88" s="40">
        <v>186</v>
      </c>
      <c r="D88" s="37" t="s">
        <v>153</v>
      </c>
      <c r="E88" s="41"/>
      <c r="F88" s="83">
        <f>C88*E88</f>
        <v>0</v>
      </c>
    </row>
    <row r="89" spans="1:6" ht="15" customHeight="1">
      <c r="A89" s="37"/>
      <c r="B89" s="42"/>
      <c r="C89" s="40"/>
      <c r="D89" s="37"/>
      <c r="E89" s="41"/>
      <c r="F89" s="83"/>
    </row>
    <row r="90" spans="1:6" ht="15" customHeight="1">
      <c r="A90" s="37" t="s">
        <v>253</v>
      </c>
      <c r="B90" s="42" t="s">
        <v>254</v>
      </c>
      <c r="C90" s="40"/>
      <c r="D90" s="37"/>
      <c r="E90" s="41"/>
      <c r="F90" s="83"/>
    </row>
    <row r="91" spans="1:6" ht="57" customHeight="1">
      <c r="A91" s="37"/>
      <c r="B91" s="32" t="s">
        <v>255</v>
      </c>
      <c r="C91" s="40">
        <v>44</v>
      </c>
      <c r="D91" s="37" t="s">
        <v>153</v>
      </c>
      <c r="E91" s="41"/>
      <c r="F91" s="83">
        <f>C91*E91</f>
        <v>0</v>
      </c>
    </row>
    <row r="92" spans="1:6" ht="18.95" customHeight="1">
      <c r="A92" s="37"/>
      <c r="B92" s="32"/>
      <c r="C92" s="40"/>
      <c r="D92" s="37"/>
      <c r="E92" s="41"/>
      <c r="F92" s="83"/>
    </row>
    <row r="93" spans="1:6" ht="15" customHeight="1">
      <c r="A93" s="37" t="s">
        <v>256</v>
      </c>
      <c r="B93" s="42" t="s">
        <v>257</v>
      </c>
      <c r="C93" s="40"/>
      <c r="D93" s="37"/>
      <c r="E93" s="41"/>
      <c r="F93" s="83"/>
    </row>
    <row r="94" spans="1:6" ht="57" customHeight="1">
      <c r="A94" s="37"/>
      <c r="B94" s="32" t="s">
        <v>255</v>
      </c>
      <c r="C94" s="40">
        <v>66</v>
      </c>
      <c r="D94" s="37" t="s">
        <v>153</v>
      </c>
      <c r="E94" s="41"/>
      <c r="F94" s="83">
        <f>C94*E94</f>
        <v>0</v>
      </c>
    </row>
    <row r="95" spans="1:6" ht="15" customHeight="1">
      <c r="A95" s="37"/>
      <c r="B95" s="42"/>
      <c r="C95" s="40"/>
      <c r="D95" s="37"/>
      <c r="E95" s="41"/>
      <c r="F95" s="83"/>
    </row>
    <row r="96" spans="1:6" ht="149.1" customHeight="1">
      <c r="A96" s="44" t="s">
        <v>258</v>
      </c>
      <c r="B96" s="45" t="s">
        <v>1347</v>
      </c>
      <c r="C96" s="46"/>
      <c r="D96" s="44"/>
      <c r="E96" s="47"/>
      <c r="F96" s="107"/>
    </row>
    <row r="97" spans="1:6" ht="26.1" customHeight="1">
      <c r="A97" s="37" t="s">
        <v>259</v>
      </c>
      <c r="B97" s="32" t="s">
        <v>260</v>
      </c>
      <c r="C97" s="40">
        <v>15</v>
      </c>
      <c r="D97" s="37" t="s">
        <v>153</v>
      </c>
      <c r="E97" s="41"/>
      <c r="F97" s="83">
        <f t="shared" ref="F97:F106" si="3">C97*E97</f>
        <v>0</v>
      </c>
    </row>
    <row r="98" spans="1:6" ht="26.1" customHeight="1">
      <c r="A98" s="37" t="s">
        <v>261</v>
      </c>
      <c r="B98" s="32" t="s">
        <v>262</v>
      </c>
      <c r="C98" s="40">
        <v>13</v>
      </c>
      <c r="D98" s="37" t="s">
        <v>153</v>
      </c>
      <c r="E98" s="41"/>
      <c r="F98" s="83">
        <f t="shared" si="3"/>
        <v>0</v>
      </c>
    </row>
    <row r="99" spans="1:6" ht="26.1" customHeight="1">
      <c r="A99" s="37" t="s">
        <v>263</v>
      </c>
      <c r="B99" s="32" t="s">
        <v>264</v>
      </c>
      <c r="C99" s="40">
        <v>25</v>
      </c>
      <c r="D99" s="37" t="s">
        <v>153</v>
      </c>
      <c r="E99" s="41"/>
      <c r="F99" s="83">
        <f t="shared" si="3"/>
        <v>0</v>
      </c>
    </row>
    <row r="100" spans="1:6" ht="26.1" customHeight="1">
      <c r="A100" s="37" t="s">
        <v>265</v>
      </c>
      <c r="B100" s="32" t="s">
        <v>266</v>
      </c>
      <c r="C100" s="40">
        <v>8</v>
      </c>
      <c r="D100" s="37" t="s">
        <v>153</v>
      </c>
      <c r="E100" s="41"/>
      <c r="F100" s="83">
        <f t="shared" si="3"/>
        <v>0</v>
      </c>
    </row>
    <row r="101" spans="1:6" ht="26.1" customHeight="1">
      <c r="A101" s="37" t="s">
        <v>267</v>
      </c>
      <c r="B101" s="32" t="s">
        <v>268</v>
      </c>
      <c r="C101" s="40">
        <v>15</v>
      </c>
      <c r="D101" s="37" t="s">
        <v>153</v>
      </c>
      <c r="E101" s="41"/>
      <c r="F101" s="83">
        <f t="shared" si="3"/>
        <v>0</v>
      </c>
    </row>
    <row r="102" spans="1:6" ht="26.1" customHeight="1">
      <c r="A102" s="37" t="s">
        <v>269</v>
      </c>
      <c r="B102" s="32" t="s">
        <v>270</v>
      </c>
      <c r="C102" s="40">
        <v>15</v>
      </c>
      <c r="D102" s="37" t="s">
        <v>153</v>
      </c>
      <c r="E102" s="41"/>
      <c r="F102" s="83">
        <f t="shared" si="3"/>
        <v>0</v>
      </c>
    </row>
    <row r="103" spans="1:6" ht="26.1" customHeight="1">
      <c r="A103" s="37" t="s">
        <v>271</v>
      </c>
      <c r="B103" s="32" t="s">
        <v>272</v>
      </c>
      <c r="C103" s="40">
        <v>18</v>
      </c>
      <c r="D103" s="37" t="s">
        <v>153</v>
      </c>
      <c r="E103" s="41"/>
      <c r="F103" s="83">
        <f t="shared" si="3"/>
        <v>0</v>
      </c>
    </row>
    <row r="104" spans="1:6" ht="26.1" customHeight="1">
      <c r="A104" s="37" t="s">
        <v>273</v>
      </c>
      <c r="B104" s="32" t="s">
        <v>274</v>
      </c>
      <c r="C104" s="40">
        <v>16</v>
      </c>
      <c r="D104" s="37" t="s">
        <v>153</v>
      </c>
      <c r="E104" s="41"/>
      <c r="F104" s="83">
        <f t="shared" si="3"/>
        <v>0</v>
      </c>
    </row>
    <row r="105" spans="1:6" ht="26.1" customHeight="1">
      <c r="A105" s="37" t="s">
        <v>275</v>
      </c>
      <c r="B105" s="236" t="s">
        <v>276</v>
      </c>
      <c r="C105" s="232">
        <v>3</v>
      </c>
      <c r="D105" s="233" t="s">
        <v>153</v>
      </c>
      <c r="E105" s="234"/>
      <c r="F105" s="235">
        <f t="shared" si="3"/>
        <v>0</v>
      </c>
    </row>
    <row r="106" spans="1:6" ht="26.1" customHeight="1">
      <c r="A106" s="37" t="s">
        <v>277</v>
      </c>
      <c r="B106" s="236" t="s">
        <v>278</v>
      </c>
      <c r="C106" s="232">
        <v>3</v>
      </c>
      <c r="D106" s="233" t="s">
        <v>153</v>
      </c>
      <c r="E106" s="234"/>
      <c r="F106" s="235">
        <f t="shared" si="3"/>
        <v>0</v>
      </c>
    </row>
    <row r="107" spans="1:6" ht="26.1" customHeight="1">
      <c r="A107" s="37"/>
      <c r="B107" s="32"/>
      <c r="C107" s="40"/>
      <c r="D107" s="37"/>
      <c r="E107" s="41"/>
      <c r="F107" s="83"/>
    </row>
    <row r="108" spans="1:6" ht="15" customHeight="1">
      <c r="A108" s="37" t="s">
        <v>279</v>
      </c>
      <c r="B108" s="49" t="s">
        <v>280</v>
      </c>
      <c r="C108" s="40"/>
      <c r="D108" s="231"/>
      <c r="E108" s="41"/>
      <c r="F108" s="83"/>
    </row>
    <row r="109" spans="1:6" ht="15" customHeight="1">
      <c r="A109" s="37"/>
      <c r="B109" s="49"/>
      <c r="C109" s="40"/>
      <c r="D109" s="231"/>
      <c r="E109" s="41"/>
      <c r="F109" s="83"/>
    </row>
    <row r="110" spans="1:6" ht="26.1" customHeight="1">
      <c r="A110" s="37" t="s">
        <v>281</v>
      </c>
      <c r="B110" s="42" t="s">
        <v>282</v>
      </c>
      <c r="C110" s="40"/>
      <c r="D110" s="37"/>
      <c r="E110" s="41"/>
      <c r="F110" s="83"/>
    </row>
    <row r="111" spans="1:6" ht="75" customHeight="1">
      <c r="A111" s="37"/>
      <c r="B111" s="32" t="s">
        <v>197</v>
      </c>
      <c r="C111" s="40">
        <v>21</v>
      </c>
      <c r="D111" s="37" t="s">
        <v>153</v>
      </c>
      <c r="E111" s="41"/>
      <c r="F111" s="83">
        <f>C111*E111</f>
        <v>0</v>
      </c>
    </row>
    <row r="112" spans="1:6" ht="18.95" customHeight="1">
      <c r="A112" s="37"/>
      <c r="B112" s="32"/>
      <c r="C112" s="40"/>
      <c r="D112" s="37"/>
      <c r="E112" s="41"/>
      <c r="F112" s="83"/>
    </row>
    <row r="113" spans="1:6" ht="26.1" customHeight="1">
      <c r="A113" s="37" t="s">
        <v>283</v>
      </c>
      <c r="B113" s="42" t="s">
        <v>284</v>
      </c>
      <c r="C113" s="40"/>
      <c r="D113" s="37"/>
      <c r="E113" s="41"/>
      <c r="F113" s="83"/>
    </row>
    <row r="114" spans="1:6" ht="63" customHeight="1">
      <c r="A114" s="37"/>
      <c r="B114" s="32" t="s">
        <v>285</v>
      </c>
      <c r="C114" s="40">
        <v>21</v>
      </c>
      <c r="D114" s="37" t="s">
        <v>153</v>
      </c>
      <c r="E114" s="41"/>
      <c r="F114" s="83">
        <f>C114*E114</f>
        <v>0</v>
      </c>
    </row>
    <row r="115" spans="1:6" ht="15" customHeight="1">
      <c r="A115" s="37"/>
      <c r="B115" s="32"/>
      <c r="C115" s="40"/>
      <c r="D115" s="37"/>
      <c r="E115" s="41"/>
      <c r="F115" s="83"/>
    </row>
    <row r="116" spans="1:6" ht="15" customHeight="1">
      <c r="A116" s="37" t="s">
        <v>286</v>
      </c>
      <c r="B116" s="42" t="s">
        <v>287</v>
      </c>
      <c r="C116" s="40"/>
      <c r="D116" s="37"/>
      <c r="E116" s="41"/>
      <c r="F116" s="83"/>
    </row>
    <row r="117" spans="1:6" ht="105" customHeight="1">
      <c r="A117" s="37"/>
      <c r="B117" s="32" t="s">
        <v>288</v>
      </c>
      <c r="C117" s="40">
        <v>49</v>
      </c>
      <c r="D117" s="37" t="s">
        <v>153</v>
      </c>
      <c r="E117" s="41"/>
      <c r="F117" s="83">
        <f>C117*E117</f>
        <v>0</v>
      </c>
    </row>
    <row r="118" spans="1:6" ht="15" customHeight="1">
      <c r="A118" s="44"/>
      <c r="B118" s="45"/>
      <c r="C118" s="46"/>
      <c r="D118" s="44"/>
      <c r="E118" s="47"/>
      <c r="F118" s="107"/>
    </row>
    <row r="119" spans="1:6" ht="15" customHeight="1">
      <c r="A119" s="37" t="s">
        <v>289</v>
      </c>
      <c r="B119" s="49" t="s">
        <v>250</v>
      </c>
      <c r="C119" s="40"/>
      <c r="D119" s="231"/>
      <c r="E119" s="41"/>
      <c r="F119" s="83"/>
    </row>
    <row r="120" spans="1:6" ht="15" customHeight="1">
      <c r="A120" s="37"/>
      <c r="B120" s="32"/>
      <c r="C120" s="40"/>
      <c r="D120" s="231"/>
      <c r="E120" s="41"/>
      <c r="F120" s="83"/>
    </row>
    <row r="121" spans="1:6" ht="15" customHeight="1">
      <c r="A121" s="37" t="s">
        <v>290</v>
      </c>
      <c r="B121" s="42" t="s">
        <v>291</v>
      </c>
      <c r="C121" s="40"/>
      <c r="D121" s="37"/>
      <c r="E121" s="41"/>
      <c r="F121" s="83"/>
    </row>
    <row r="122" spans="1:6" ht="165.95" customHeight="1">
      <c r="A122" s="37"/>
      <c r="B122" s="32" t="s">
        <v>1348</v>
      </c>
      <c r="C122" s="40">
        <v>34</v>
      </c>
      <c r="D122" s="37" t="s">
        <v>153</v>
      </c>
      <c r="E122" s="41"/>
      <c r="F122" s="83">
        <f t="shared" ref="F122:F128" si="4">C122*E122</f>
        <v>0</v>
      </c>
    </row>
    <row r="123" spans="1:6" ht="14.1" customHeight="1">
      <c r="A123" s="37"/>
      <c r="B123" s="32"/>
      <c r="C123" s="40"/>
      <c r="D123" s="37"/>
      <c r="E123" s="41"/>
      <c r="F123" s="83"/>
    </row>
    <row r="124" spans="1:6" ht="135">
      <c r="A124" s="37" t="s">
        <v>292</v>
      </c>
      <c r="B124" s="32" t="s">
        <v>1347</v>
      </c>
      <c r="C124" s="40"/>
      <c r="D124" s="37"/>
      <c r="E124" s="41"/>
      <c r="F124" s="83"/>
    </row>
    <row r="125" spans="1:6" ht="15" customHeight="1">
      <c r="A125" s="37" t="s">
        <v>293</v>
      </c>
      <c r="B125" s="32" t="s">
        <v>294</v>
      </c>
      <c r="C125" s="40">
        <v>22</v>
      </c>
      <c r="D125" s="37" t="s">
        <v>153</v>
      </c>
      <c r="E125" s="41"/>
      <c r="F125" s="83">
        <f t="shared" si="4"/>
        <v>0</v>
      </c>
    </row>
    <row r="126" spans="1:6" ht="15" customHeight="1">
      <c r="A126" s="37" t="s">
        <v>295</v>
      </c>
      <c r="B126" s="32" t="s">
        <v>296</v>
      </c>
      <c r="C126" s="40">
        <f>15*5</f>
        <v>75</v>
      </c>
      <c r="D126" s="37" t="s">
        <v>153</v>
      </c>
      <c r="E126" s="41"/>
      <c r="F126" s="83">
        <f t="shared" si="4"/>
        <v>0</v>
      </c>
    </row>
    <row r="127" spans="1:6" ht="15" customHeight="1">
      <c r="A127" s="37" t="s">
        <v>297</v>
      </c>
      <c r="B127" s="32" t="s">
        <v>298</v>
      </c>
      <c r="C127" s="40">
        <v>24</v>
      </c>
      <c r="D127" s="37" t="s">
        <v>153</v>
      </c>
      <c r="E127" s="41"/>
      <c r="F127" s="83">
        <f t="shared" si="4"/>
        <v>0</v>
      </c>
    </row>
    <row r="128" spans="1:6" ht="15" customHeight="1">
      <c r="A128" s="37" t="s">
        <v>299</v>
      </c>
      <c r="B128" s="32" t="s">
        <v>300</v>
      </c>
      <c r="C128" s="40">
        <f>22*2</f>
        <v>44</v>
      </c>
      <c r="D128" s="37" t="s">
        <v>153</v>
      </c>
      <c r="E128" s="41"/>
      <c r="F128" s="83">
        <f t="shared" si="4"/>
        <v>0</v>
      </c>
    </row>
    <row r="129" spans="1:6" ht="15" customHeight="1">
      <c r="A129" s="37"/>
      <c r="B129" s="32"/>
      <c r="C129" s="40"/>
      <c r="D129" s="37"/>
      <c r="E129" s="41"/>
      <c r="F129" s="83"/>
    </row>
    <row r="130" spans="1:6" ht="15" customHeight="1">
      <c r="A130" s="37" t="s">
        <v>301</v>
      </c>
      <c r="B130" s="49" t="s">
        <v>302</v>
      </c>
      <c r="C130" s="40"/>
      <c r="D130" s="231"/>
      <c r="E130" s="41"/>
      <c r="F130" s="83"/>
    </row>
    <row r="131" spans="1:6" ht="15" customHeight="1">
      <c r="A131" s="37"/>
      <c r="B131" s="32"/>
      <c r="C131" s="40"/>
      <c r="D131" s="37"/>
      <c r="E131" s="41"/>
      <c r="F131" s="83"/>
    </row>
    <row r="132" spans="1:6" ht="15" customHeight="1">
      <c r="A132" s="37" t="s">
        <v>303</v>
      </c>
      <c r="B132" s="42" t="s">
        <v>304</v>
      </c>
      <c r="C132" s="40"/>
      <c r="D132" s="37"/>
      <c r="E132" s="41"/>
      <c r="F132" s="83"/>
    </row>
    <row r="133" spans="1:6" ht="152.25" customHeight="1">
      <c r="A133" s="37"/>
      <c r="B133" s="32" t="s">
        <v>1347</v>
      </c>
      <c r="C133" s="40">
        <v>85</v>
      </c>
      <c r="D133" s="37" t="s">
        <v>153</v>
      </c>
      <c r="E133" s="41"/>
      <c r="F133" s="83">
        <f>C133*E133</f>
        <v>0</v>
      </c>
    </row>
    <row r="134" spans="1:6" ht="15" customHeight="1">
      <c r="A134" s="44"/>
      <c r="B134" s="45"/>
      <c r="C134" s="46"/>
      <c r="D134" s="44"/>
      <c r="E134" s="47"/>
      <c r="F134" s="107"/>
    </row>
    <row r="135" spans="1:6" ht="17.100000000000001" customHeight="1">
      <c r="A135" s="37" t="s">
        <v>305</v>
      </c>
      <c r="B135" s="49" t="s">
        <v>306</v>
      </c>
      <c r="C135" s="40"/>
      <c r="D135" s="231"/>
      <c r="E135" s="41"/>
      <c r="F135" s="83"/>
    </row>
    <row r="136" spans="1:6" ht="15" customHeight="1">
      <c r="A136" s="37"/>
      <c r="B136" s="49"/>
      <c r="C136" s="40"/>
      <c r="D136" s="231"/>
      <c r="E136" s="41"/>
      <c r="F136" s="83"/>
    </row>
    <row r="137" spans="1:6" ht="148.5" customHeight="1">
      <c r="A137" s="37" t="s">
        <v>307</v>
      </c>
      <c r="B137" s="32" t="s">
        <v>1347</v>
      </c>
      <c r="C137" s="40"/>
      <c r="D137" s="37"/>
      <c r="E137" s="41"/>
      <c r="F137" s="83"/>
    </row>
    <row r="138" spans="1:6" ht="15" customHeight="1">
      <c r="A138" s="37" t="s">
        <v>308</v>
      </c>
      <c r="B138" s="32" t="s">
        <v>309</v>
      </c>
      <c r="C138" s="40">
        <v>12</v>
      </c>
      <c r="D138" s="37" t="s">
        <v>153</v>
      </c>
      <c r="E138" s="41"/>
      <c r="F138" s="83">
        <f>C138*E138</f>
        <v>0</v>
      </c>
    </row>
    <row r="139" spans="1:6" ht="15" customHeight="1">
      <c r="A139" s="37" t="s">
        <v>310</v>
      </c>
      <c r="B139" s="32" t="s">
        <v>311</v>
      </c>
      <c r="C139" s="40">
        <v>13</v>
      </c>
      <c r="D139" s="37" t="s">
        <v>153</v>
      </c>
      <c r="E139" s="41"/>
      <c r="F139" s="83">
        <f>C139*E139</f>
        <v>0</v>
      </c>
    </row>
    <row r="140" spans="1:6" ht="15" customHeight="1">
      <c r="A140" s="37"/>
      <c r="B140" s="32"/>
      <c r="C140" s="40"/>
      <c r="D140" s="37"/>
      <c r="E140" s="41"/>
      <c r="F140" s="83"/>
    </row>
    <row r="141" spans="1:6" ht="15" customHeight="1">
      <c r="A141" s="32"/>
      <c r="B141" s="242"/>
      <c r="C141" s="187"/>
      <c r="D141" s="187"/>
      <c r="E141" s="243"/>
      <c r="F141" s="83"/>
    </row>
    <row r="142" spans="1:6" ht="15" customHeight="1">
      <c r="A142" s="54"/>
      <c r="B142" s="55"/>
      <c r="C142" s="56"/>
      <c r="D142" s="57"/>
      <c r="E142" s="58"/>
      <c r="F142" s="110"/>
    </row>
    <row r="143" spans="1:6" ht="22.7" customHeight="1">
      <c r="A143" s="469" t="s">
        <v>312</v>
      </c>
      <c r="B143" s="467"/>
      <c r="C143" s="468"/>
      <c r="D143" s="467"/>
      <c r="E143" s="468"/>
      <c r="F143" s="111">
        <f>SUM(F15:F139)</f>
        <v>0</v>
      </c>
    </row>
  </sheetData>
  <mergeCells count="1">
    <mergeCell ref="A143:E143"/>
  </mergeCells>
  <phoneticPr fontId="34" type="noConversion"/>
  <printOptions horizontalCentered="1"/>
  <pageMargins left="0.55118110236220497" right="0.15748031496063" top="0.98425196850393704" bottom="0.98425196850393704" header="0.511811023622047" footer="0.511811023622047"/>
  <pageSetup paperSize="9" scale="81" orientation="portrait" r:id="rId1"/>
  <headerFooter>
    <oddFooter>&amp;R&amp;"宋体,常规"BQ-D-P.&amp;P/&amp;N</oddFooter>
  </headerFooter>
  <rowBreaks count="4" manualBreakCount="4">
    <brk id="25" max="16383" man="1"/>
    <brk id="47" max="16383" man="1"/>
    <brk id="118"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80"/>
  <sheetViews>
    <sheetView showZeros="0" view="pageBreakPreview" topLeftCell="A559" zoomScaleNormal="100" workbookViewId="0">
      <selection activeCell="B406" sqref="B406"/>
    </sheetView>
  </sheetViews>
  <sheetFormatPr defaultColWidth="9.33203125" defaultRowHeight="13.5"/>
  <cols>
    <col min="1" max="1" width="11" style="61" customWidth="1"/>
    <col min="2" max="2" width="71.1640625" style="61" customWidth="1"/>
    <col min="3" max="3" width="9.5" style="166" customWidth="1"/>
    <col min="4" max="4" width="8" style="62" customWidth="1"/>
    <col min="5" max="5" width="13" style="203" customWidth="1"/>
    <col min="6" max="6" width="18.6640625" style="204" customWidth="1"/>
    <col min="7" max="16384" width="9.33203125" style="61"/>
  </cols>
  <sheetData>
    <row r="1" spans="1:7" ht="20.100000000000001" customHeight="1">
      <c r="A1" s="6"/>
      <c r="B1" s="65"/>
      <c r="C1" s="61"/>
      <c r="E1" s="61"/>
      <c r="F1" s="205" t="s">
        <v>0</v>
      </c>
    </row>
    <row r="2" spans="1:7" ht="20.100000000000001" customHeight="1">
      <c r="A2" s="6"/>
      <c r="B2" s="65"/>
      <c r="C2" s="61"/>
      <c r="E2" s="61"/>
      <c r="F2" s="205" t="s">
        <v>313</v>
      </c>
    </row>
    <row r="3" spans="1:7" ht="20.100000000000001" customHeight="1">
      <c r="A3" s="67"/>
      <c r="B3" s="68"/>
      <c r="C3" s="69"/>
      <c r="D3" s="70"/>
      <c r="E3" s="69"/>
      <c r="F3" s="206" t="s">
        <v>314</v>
      </c>
    </row>
    <row r="4" spans="1:7" ht="20.100000000000001" customHeight="1">
      <c r="A4" s="18" t="s">
        <v>315</v>
      </c>
      <c r="B4" s="73"/>
      <c r="C4" s="73"/>
      <c r="D4" s="207"/>
      <c r="E4" s="61"/>
      <c r="F4" s="75"/>
    </row>
    <row r="5" spans="1:7" ht="8.25" customHeight="1">
      <c r="A5" s="18"/>
      <c r="B5" s="73"/>
      <c r="C5" s="73"/>
      <c r="D5" s="76"/>
      <c r="E5" s="61"/>
      <c r="F5" s="176"/>
      <c r="G5" s="177"/>
    </row>
    <row r="6" spans="1:7" ht="20.100000000000001" customHeight="1">
      <c r="A6" s="18" t="s">
        <v>316</v>
      </c>
      <c r="B6" s="73"/>
      <c r="C6" s="76"/>
    </row>
    <row r="7" spans="1:7" ht="33" customHeight="1">
      <c r="A7" s="22" t="s">
        <v>166</v>
      </c>
      <c r="B7" s="23" t="s">
        <v>167</v>
      </c>
      <c r="C7" s="22" t="s">
        <v>168</v>
      </c>
      <c r="D7" s="22" t="s">
        <v>169</v>
      </c>
      <c r="E7" s="208" t="s">
        <v>144</v>
      </c>
      <c r="F7" s="209" t="s">
        <v>145</v>
      </c>
    </row>
    <row r="8" spans="1:7" ht="27" customHeight="1">
      <c r="A8" s="26"/>
      <c r="B8" s="27" t="s">
        <v>170</v>
      </c>
      <c r="C8" s="80"/>
      <c r="D8" s="80"/>
      <c r="E8" s="210"/>
      <c r="F8" s="211"/>
    </row>
    <row r="9" spans="1:7" ht="78.75" customHeight="1">
      <c r="A9" s="31" t="s">
        <v>171</v>
      </c>
      <c r="B9" s="32" t="s">
        <v>317</v>
      </c>
      <c r="C9" s="40"/>
      <c r="D9" s="40"/>
      <c r="E9" s="50"/>
      <c r="F9" s="212"/>
    </row>
    <row r="10" spans="1:7" ht="66.75" customHeight="1">
      <c r="A10" s="31" t="s">
        <v>171</v>
      </c>
      <c r="B10" s="84" t="s">
        <v>149</v>
      </c>
      <c r="C10" s="40"/>
      <c r="D10" s="40"/>
      <c r="E10" s="50"/>
      <c r="F10" s="212"/>
    </row>
    <row r="11" spans="1:7" ht="15" customHeight="1">
      <c r="A11" s="37"/>
      <c r="B11" s="32"/>
      <c r="C11" s="40"/>
      <c r="D11" s="40"/>
      <c r="E11" s="50"/>
      <c r="F11" s="212"/>
    </row>
    <row r="12" spans="1:7" ht="22.5" customHeight="1">
      <c r="A12" s="37"/>
      <c r="B12" s="213" t="s">
        <v>318</v>
      </c>
      <c r="C12" s="40"/>
      <c r="D12" s="40"/>
      <c r="E12" s="50"/>
      <c r="F12" s="212"/>
    </row>
    <row r="13" spans="1:7" ht="15" customHeight="1">
      <c r="A13" s="52" t="s">
        <v>319</v>
      </c>
      <c r="B13" s="49" t="s">
        <v>320</v>
      </c>
      <c r="C13" s="40"/>
      <c r="D13" s="40"/>
      <c r="E13" s="50"/>
      <c r="F13" s="212"/>
    </row>
    <row r="14" spans="1:7" ht="15" customHeight="1">
      <c r="A14" s="37"/>
      <c r="B14" s="32"/>
      <c r="C14" s="40"/>
      <c r="D14" s="40"/>
      <c r="E14" s="50"/>
      <c r="F14" s="212"/>
    </row>
    <row r="15" spans="1:7" ht="67.5">
      <c r="A15" s="37" t="s">
        <v>321</v>
      </c>
      <c r="B15" s="32" t="s">
        <v>322</v>
      </c>
      <c r="C15" s="40"/>
      <c r="D15" s="43"/>
      <c r="E15" s="50"/>
      <c r="F15" s="212"/>
    </row>
    <row r="16" spans="1:7">
      <c r="A16" s="37"/>
      <c r="B16" s="42" t="s">
        <v>176</v>
      </c>
      <c r="C16" s="40">
        <v>360</v>
      </c>
      <c r="D16" s="43" t="s">
        <v>153</v>
      </c>
      <c r="E16" s="50"/>
      <c r="F16" s="212">
        <f>C16*E16</f>
        <v>0</v>
      </c>
    </row>
    <row r="17" spans="1:6" ht="15" customHeight="1">
      <c r="A17" s="37"/>
      <c r="B17" s="42"/>
      <c r="C17" s="40"/>
      <c r="D17" s="43"/>
      <c r="E17" s="50"/>
      <c r="F17" s="212"/>
    </row>
    <row r="18" spans="1:6" ht="67.5">
      <c r="A18" s="37" t="s">
        <v>323</v>
      </c>
      <c r="B18" s="32" t="s">
        <v>322</v>
      </c>
      <c r="C18" s="40"/>
      <c r="D18" s="43"/>
      <c r="E18" s="50"/>
      <c r="F18" s="212"/>
    </row>
    <row r="19" spans="1:6">
      <c r="A19" s="37"/>
      <c r="B19" s="42" t="s">
        <v>179</v>
      </c>
      <c r="C19" s="40">
        <v>43</v>
      </c>
      <c r="D19" s="43" t="s">
        <v>153</v>
      </c>
      <c r="E19" s="50"/>
      <c r="F19" s="212">
        <f>C19*E19</f>
        <v>0</v>
      </c>
    </row>
    <row r="20" spans="1:6" ht="15" customHeight="1">
      <c r="A20" s="37"/>
      <c r="B20" s="42"/>
      <c r="C20" s="40"/>
      <c r="D20" s="43"/>
      <c r="E20" s="50"/>
      <c r="F20" s="212"/>
    </row>
    <row r="21" spans="1:6" ht="67.5">
      <c r="A21" s="37" t="s">
        <v>324</v>
      </c>
      <c r="B21" s="32" t="s">
        <v>325</v>
      </c>
      <c r="C21" s="40"/>
      <c r="D21" s="43"/>
      <c r="E21" s="50"/>
      <c r="F21" s="212"/>
    </row>
    <row r="22" spans="1:6">
      <c r="A22" s="37"/>
      <c r="B22" s="42" t="s">
        <v>182</v>
      </c>
      <c r="C22" s="40">
        <v>30</v>
      </c>
      <c r="D22" s="43" t="s">
        <v>153</v>
      </c>
      <c r="E22" s="50"/>
      <c r="F22" s="212">
        <f>C22*E22</f>
        <v>0</v>
      </c>
    </row>
    <row r="23" spans="1:6" ht="15" customHeight="1">
      <c r="A23" s="37"/>
      <c r="B23" s="42"/>
      <c r="C23" s="40"/>
      <c r="D23" s="43"/>
      <c r="E23" s="50"/>
      <c r="F23" s="212"/>
    </row>
    <row r="24" spans="1:6" ht="67.5">
      <c r="A24" s="37" t="s">
        <v>326</v>
      </c>
      <c r="B24" s="32" t="s">
        <v>325</v>
      </c>
      <c r="C24" s="40"/>
      <c r="D24" s="43"/>
      <c r="E24" s="50"/>
      <c r="F24" s="212"/>
    </row>
    <row r="25" spans="1:6">
      <c r="A25" s="37"/>
      <c r="B25" s="42" t="s">
        <v>184</v>
      </c>
      <c r="C25" s="40">
        <f>19+19+22</f>
        <v>60</v>
      </c>
      <c r="D25" s="43" t="s">
        <v>153</v>
      </c>
      <c r="E25" s="50"/>
      <c r="F25" s="212">
        <f>C25*E25</f>
        <v>0</v>
      </c>
    </row>
    <row r="26" spans="1:6">
      <c r="A26" s="37"/>
      <c r="B26" s="32"/>
      <c r="C26" s="40"/>
      <c r="D26" s="43"/>
      <c r="E26" s="50"/>
      <c r="F26" s="212"/>
    </row>
    <row r="27" spans="1:6" ht="67.5">
      <c r="A27" s="37" t="s">
        <v>327</v>
      </c>
      <c r="B27" s="32" t="s">
        <v>322</v>
      </c>
      <c r="C27" s="40"/>
      <c r="D27" s="43"/>
      <c r="E27" s="50"/>
      <c r="F27" s="212"/>
    </row>
    <row r="28" spans="1:6">
      <c r="A28" s="37"/>
      <c r="B28" s="42" t="s">
        <v>186</v>
      </c>
      <c r="C28" s="40">
        <v>3</v>
      </c>
      <c r="D28" s="43" t="s">
        <v>153</v>
      </c>
      <c r="E28" s="50"/>
      <c r="F28" s="212">
        <f>C28*E28</f>
        <v>0</v>
      </c>
    </row>
    <row r="29" spans="1:6" ht="15.95" customHeight="1">
      <c r="A29" s="44"/>
      <c r="B29" s="45"/>
      <c r="C29" s="46"/>
      <c r="D29" s="196"/>
      <c r="E29" s="51"/>
      <c r="F29" s="214"/>
    </row>
    <row r="30" spans="1:6" ht="74.099999999999994" customHeight="1">
      <c r="A30" s="37" t="s">
        <v>328</v>
      </c>
      <c r="B30" s="32" t="s">
        <v>322</v>
      </c>
      <c r="C30" s="40"/>
      <c r="D30" s="43"/>
      <c r="E30" s="50"/>
      <c r="F30" s="212"/>
    </row>
    <row r="31" spans="1:6" ht="15" customHeight="1">
      <c r="A31" s="37" t="s">
        <v>329</v>
      </c>
      <c r="B31" s="32" t="s">
        <v>188</v>
      </c>
      <c r="C31" s="40">
        <f>15*3</f>
        <v>45</v>
      </c>
      <c r="D31" s="43" t="s">
        <v>153</v>
      </c>
      <c r="E31" s="50"/>
      <c r="F31" s="212">
        <f>C31*E31</f>
        <v>0</v>
      </c>
    </row>
    <row r="32" spans="1:6" ht="15" customHeight="1">
      <c r="A32" s="37" t="s">
        <v>330</v>
      </c>
      <c r="B32" s="32" t="s">
        <v>189</v>
      </c>
      <c r="C32" s="40">
        <v>16</v>
      </c>
      <c r="D32" s="43" t="s">
        <v>153</v>
      </c>
      <c r="E32" s="50"/>
      <c r="F32" s="212">
        <f>C32*E32</f>
        <v>0</v>
      </c>
    </row>
    <row r="33" spans="1:6" ht="15" customHeight="1">
      <c r="A33" s="37" t="s">
        <v>331</v>
      </c>
      <c r="B33" s="32" t="s">
        <v>190</v>
      </c>
      <c r="C33" s="40">
        <f>22*2</f>
        <v>44</v>
      </c>
      <c r="D33" s="43" t="s">
        <v>153</v>
      </c>
      <c r="E33" s="50"/>
      <c r="F33" s="212">
        <f>C33*E33</f>
        <v>0</v>
      </c>
    </row>
    <row r="34" spans="1:6" ht="15" customHeight="1">
      <c r="A34" s="37"/>
      <c r="B34" s="42"/>
      <c r="C34" s="40"/>
      <c r="D34" s="43"/>
      <c r="E34" s="50"/>
      <c r="F34" s="212"/>
    </row>
    <row r="35" spans="1:6" ht="15" customHeight="1">
      <c r="A35" s="52" t="s">
        <v>332</v>
      </c>
      <c r="B35" s="49" t="s">
        <v>333</v>
      </c>
      <c r="C35" s="40"/>
      <c r="D35" s="40"/>
      <c r="E35" s="50"/>
      <c r="F35" s="212"/>
    </row>
    <row r="36" spans="1:6" ht="15" customHeight="1">
      <c r="A36" s="37"/>
      <c r="B36" s="49"/>
      <c r="C36" s="40"/>
      <c r="D36" s="40"/>
      <c r="E36" s="50"/>
      <c r="F36" s="212"/>
    </row>
    <row r="37" spans="1:6" ht="67.5">
      <c r="A37" s="37" t="s">
        <v>334</v>
      </c>
      <c r="B37" s="32" t="s">
        <v>322</v>
      </c>
      <c r="C37" s="40"/>
      <c r="D37" s="43"/>
      <c r="E37" s="50"/>
      <c r="F37" s="212"/>
    </row>
    <row r="38" spans="1:6">
      <c r="A38" s="37"/>
      <c r="B38" s="42" t="s">
        <v>194</v>
      </c>
      <c r="C38" s="40">
        <f>ROUND((3.8*5.1+5.9*3.8+4.6*4.45),0)</f>
        <v>62</v>
      </c>
      <c r="D38" s="43" t="s">
        <v>153</v>
      </c>
      <c r="E38" s="50"/>
      <c r="F38" s="212">
        <f>C38*E38</f>
        <v>0</v>
      </c>
    </row>
    <row r="39" spans="1:6" ht="15" customHeight="1">
      <c r="A39" s="37"/>
      <c r="B39" s="49"/>
      <c r="C39" s="40"/>
      <c r="D39" s="40"/>
      <c r="E39" s="50"/>
      <c r="F39" s="212"/>
    </row>
    <row r="40" spans="1:6" ht="54">
      <c r="A40" s="37" t="s">
        <v>335</v>
      </c>
      <c r="B40" s="32" t="s">
        <v>336</v>
      </c>
      <c r="C40" s="40"/>
      <c r="D40" s="43"/>
      <c r="E40" s="50"/>
      <c r="F40" s="212"/>
    </row>
    <row r="41" spans="1:6">
      <c r="A41" s="37"/>
      <c r="B41" s="42" t="s">
        <v>196</v>
      </c>
      <c r="C41" s="40">
        <v>197</v>
      </c>
      <c r="D41" s="43" t="s">
        <v>153</v>
      </c>
      <c r="E41" s="50"/>
      <c r="F41" s="212">
        <f>C41*E41</f>
        <v>0</v>
      </c>
    </row>
    <row r="42" spans="1:6" ht="15" customHeight="1">
      <c r="A42" s="37"/>
      <c r="B42" s="42"/>
      <c r="C42" s="40"/>
      <c r="D42" s="43"/>
      <c r="E42" s="50"/>
      <c r="F42" s="212"/>
    </row>
    <row r="43" spans="1:6" ht="15" customHeight="1">
      <c r="A43" s="52" t="s">
        <v>337</v>
      </c>
      <c r="B43" s="49" t="s">
        <v>338</v>
      </c>
      <c r="C43" s="40"/>
      <c r="D43" s="40"/>
      <c r="E43" s="50"/>
      <c r="F43" s="212"/>
    </row>
    <row r="44" spans="1:6" ht="15" customHeight="1">
      <c r="A44" s="37"/>
      <c r="B44" s="49"/>
      <c r="C44" s="40"/>
      <c r="D44" s="40"/>
      <c r="E44" s="50"/>
      <c r="F44" s="212"/>
    </row>
    <row r="45" spans="1:6" ht="67.5">
      <c r="A45" s="37" t="s">
        <v>339</v>
      </c>
      <c r="B45" s="32" t="s">
        <v>325</v>
      </c>
      <c r="C45" s="40"/>
      <c r="D45" s="43"/>
      <c r="E45" s="50"/>
      <c r="F45" s="212"/>
    </row>
    <row r="46" spans="1:6">
      <c r="A46" s="37"/>
      <c r="B46" s="42" t="s">
        <v>340</v>
      </c>
      <c r="C46" s="40">
        <f>6+5</f>
        <v>11</v>
      </c>
      <c r="D46" s="43" t="s">
        <v>153</v>
      </c>
      <c r="E46" s="50"/>
      <c r="F46" s="212">
        <f>C46*E46</f>
        <v>0</v>
      </c>
    </row>
    <row r="47" spans="1:6" ht="15.95" customHeight="1">
      <c r="A47" s="37"/>
      <c r="B47" s="32"/>
      <c r="C47" s="40"/>
      <c r="D47" s="43"/>
      <c r="E47" s="50"/>
      <c r="F47" s="212"/>
    </row>
    <row r="48" spans="1:6" ht="54">
      <c r="A48" s="37" t="s">
        <v>339</v>
      </c>
      <c r="B48" s="32" t="s">
        <v>341</v>
      </c>
      <c r="C48" s="40"/>
      <c r="D48" s="43"/>
      <c r="E48" s="50"/>
      <c r="F48" s="212"/>
    </row>
    <row r="49" spans="1:6">
      <c r="A49" s="37"/>
      <c r="B49" s="42" t="s">
        <v>342</v>
      </c>
      <c r="C49" s="40">
        <v>5</v>
      </c>
      <c r="D49" s="43" t="s">
        <v>153</v>
      </c>
      <c r="E49" s="50"/>
      <c r="F49" s="212">
        <f>C49*E49</f>
        <v>0</v>
      </c>
    </row>
    <row r="50" spans="1:6" ht="15" customHeight="1">
      <c r="A50" s="37"/>
      <c r="B50" s="49"/>
      <c r="C50" s="40"/>
      <c r="D50" s="40"/>
      <c r="E50" s="50"/>
      <c r="F50" s="212"/>
    </row>
    <row r="51" spans="1:6" ht="67.5">
      <c r="A51" s="37" t="s">
        <v>343</v>
      </c>
      <c r="B51" s="32" t="s">
        <v>322</v>
      </c>
      <c r="C51" s="40"/>
      <c r="D51" s="43"/>
      <c r="E51" s="50"/>
      <c r="F51" s="212"/>
    </row>
    <row r="52" spans="1:6">
      <c r="A52" s="37"/>
      <c r="B52" s="42" t="s">
        <v>203</v>
      </c>
      <c r="C52" s="40">
        <v>229</v>
      </c>
      <c r="D52" s="43" t="s">
        <v>153</v>
      </c>
      <c r="E52" s="50"/>
      <c r="F52" s="212">
        <f>C52*E52</f>
        <v>0</v>
      </c>
    </row>
    <row r="53" spans="1:6" ht="15" customHeight="1">
      <c r="A53" s="44"/>
      <c r="B53" s="215"/>
      <c r="C53" s="46"/>
      <c r="D53" s="196"/>
      <c r="E53" s="51"/>
      <c r="F53" s="214"/>
    </row>
    <row r="54" spans="1:6" ht="15" customHeight="1">
      <c r="A54" s="52" t="s">
        <v>344</v>
      </c>
      <c r="B54" s="49" t="s">
        <v>345</v>
      </c>
      <c r="C54" s="40"/>
      <c r="D54" s="40"/>
      <c r="E54" s="50"/>
      <c r="F54" s="212"/>
    </row>
    <row r="55" spans="1:6" ht="15" customHeight="1">
      <c r="A55" s="37"/>
      <c r="B55" s="49"/>
      <c r="C55" s="40"/>
      <c r="D55" s="40"/>
      <c r="E55" s="50"/>
      <c r="F55" s="212"/>
    </row>
    <row r="56" spans="1:6" ht="68.25" customHeight="1">
      <c r="A56" s="37" t="s">
        <v>346</v>
      </c>
      <c r="B56" s="32" t="s">
        <v>322</v>
      </c>
      <c r="C56" s="40"/>
      <c r="D56" s="43"/>
      <c r="E56" s="50"/>
      <c r="F56" s="212"/>
    </row>
    <row r="57" spans="1:6" ht="15" customHeight="1">
      <c r="A57" s="37" t="s">
        <v>347</v>
      </c>
      <c r="B57" s="32" t="s">
        <v>209</v>
      </c>
      <c r="C57" s="40">
        <v>11</v>
      </c>
      <c r="D57" s="43" t="s">
        <v>153</v>
      </c>
      <c r="E57" s="50"/>
      <c r="F57" s="212">
        <f t="shared" ref="F57:F67" si="0">C57*E57</f>
        <v>0</v>
      </c>
    </row>
    <row r="58" spans="1:6" ht="15" customHeight="1">
      <c r="A58" s="37" t="s">
        <v>348</v>
      </c>
      <c r="B58" s="32" t="s">
        <v>211</v>
      </c>
      <c r="C58" s="40">
        <v>11</v>
      </c>
      <c r="D58" s="43" t="s">
        <v>153</v>
      </c>
      <c r="E58" s="50"/>
      <c r="F58" s="212">
        <f t="shared" si="0"/>
        <v>0</v>
      </c>
    </row>
    <row r="59" spans="1:6" ht="15" customHeight="1">
      <c r="A59" s="37" t="s">
        <v>349</v>
      </c>
      <c r="B59" s="32" t="s">
        <v>213</v>
      </c>
      <c r="C59" s="40">
        <v>30</v>
      </c>
      <c r="D59" s="43" t="s">
        <v>153</v>
      </c>
      <c r="E59" s="50"/>
      <c r="F59" s="212">
        <f t="shared" si="0"/>
        <v>0</v>
      </c>
    </row>
    <row r="60" spans="1:6" ht="15" customHeight="1">
      <c r="A60" s="37" t="s">
        <v>350</v>
      </c>
      <c r="B60" s="32" t="s">
        <v>215</v>
      </c>
      <c r="C60" s="40">
        <v>16</v>
      </c>
      <c r="D60" s="43" t="s">
        <v>153</v>
      </c>
      <c r="E60" s="50"/>
      <c r="F60" s="212">
        <f t="shared" si="0"/>
        <v>0</v>
      </c>
    </row>
    <row r="61" spans="1:6" ht="15" customHeight="1">
      <c r="A61" s="37" t="s">
        <v>351</v>
      </c>
      <c r="B61" s="32" t="s">
        <v>217</v>
      </c>
      <c r="C61" s="40">
        <v>44</v>
      </c>
      <c r="D61" s="43" t="s">
        <v>153</v>
      </c>
      <c r="E61" s="50"/>
      <c r="F61" s="212">
        <f t="shared" si="0"/>
        <v>0</v>
      </c>
    </row>
    <row r="62" spans="1:6" ht="15" customHeight="1">
      <c r="A62" s="37" t="s">
        <v>352</v>
      </c>
      <c r="B62" s="32" t="s">
        <v>219</v>
      </c>
      <c r="C62" s="40">
        <v>14</v>
      </c>
      <c r="D62" s="43" t="s">
        <v>153</v>
      </c>
      <c r="E62" s="50"/>
      <c r="F62" s="212">
        <f t="shared" si="0"/>
        <v>0</v>
      </c>
    </row>
    <row r="63" spans="1:6" ht="15" customHeight="1">
      <c r="A63" s="37" t="s">
        <v>353</v>
      </c>
      <c r="B63" s="32" t="s">
        <v>221</v>
      </c>
      <c r="C63" s="40">
        <v>15</v>
      </c>
      <c r="D63" s="43" t="s">
        <v>153</v>
      </c>
      <c r="E63" s="50"/>
      <c r="F63" s="212">
        <f t="shared" si="0"/>
        <v>0</v>
      </c>
    </row>
    <row r="64" spans="1:6" ht="15" customHeight="1">
      <c r="A64" s="37" t="s">
        <v>354</v>
      </c>
      <c r="B64" s="32" t="s">
        <v>217</v>
      </c>
      <c r="C64" s="40">
        <v>33</v>
      </c>
      <c r="D64" s="43" t="s">
        <v>153</v>
      </c>
      <c r="E64" s="50"/>
      <c r="F64" s="212">
        <f t="shared" si="0"/>
        <v>0</v>
      </c>
    </row>
    <row r="65" spans="1:6" ht="15" customHeight="1">
      <c r="A65" s="37" t="s">
        <v>355</v>
      </c>
      <c r="B65" s="32" t="s">
        <v>215</v>
      </c>
      <c r="C65" s="40">
        <v>15</v>
      </c>
      <c r="D65" s="43" t="s">
        <v>153</v>
      </c>
      <c r="E65" s="50"/>
      <c r="F65" s="212">
        <f t="shared" si="0"/>
        <v>0</v>
      </c>
    </row>
    <row r="66" spans="1:6" ht="15" customHeight="1">
      <c r="A66" s="37" t="s">
        <v>356</v>
      </c>
      <c r="B66" s="32" t="s">
        <v>225</v>
      </c>
      <c r="C66" s="40">
        <f>12*3</f>
        <v>36</v>
      </c>
      <c r="D66" s="43" t="s">
        <v>153</v>
      </c>
      <c r="E66" s="50"/>
      <c r="F66" s="212">
        <f t="shared" si="0"/>
        <v>0</v>
      </c>
    </row>
    <row r="67" spans="1:6" ht="15" customHeight="1">
      <c r="A67" s="37" t="s">
        <v>357</v>
      </c>
      <c r="B67" s="32" t="s">
        <v>227</v>
      </c>
      <c r="C67" s="40">
        <v>22</v>
      </c>
      <c r="D67" s="43" t="s">
        <v>153</v>
      </c>
      <c r="E67" s="50"/>
      <c r="F67" s="212">
        <f t="shared" si="0"/>
        <v>0</v>
      </c>
    </row>
    <row r="68" spans="1:6" ht="15" customHeight="1">
      <c r="A68" s="37"/>
      <c r="B68" s="32"/>
      <c r="C68" s="40"/>
      <c r="D68" s="43"/>
      <c r="E68" s="50"/>
      <c r="F68" s="212"/>
    </row>
    <row r="69" spans="1:6" ht="67.5">
      <c r="A69" s="37" t="s">
        <v>358</v>
      </c>
      <c r="B69" s="32" t="s">
        <v>325</v>
      </c>
      <c r="C69" s="40"/>
      <c r="D69" s="43"/>
      <c r="E69" s="50"/>
      <c r="F69" s="212">
        <f>C69*E69</f>
        <v>0</v>
      </c>
    </row>
    <row r="70" spans="1:6">
      <c r="A70" s="37"/>
      <c r="B70" s="32" t="s">
        <v>229</v>
      </c>
      <c r="C70" s="40">
        <v>7</v>
      </c>
      <c r="D70" s="43" t="s">
        <v>153</v>
      </c>
      <c r="E70" s="50"/>
      <c r="F70" s="212"/>
    </row>
    <row r="71" spans="1:6" ht="15" customHeight="1">
      <c r="A71" s="37"/>
      <c r="B71" s="49"/>
      <c r="C71" s="40"/>
      <c r="D71" s="40"/>
      <c r="E71" s="50"/>
      <c r="F71" s="212"/>
    </row>
    <row r="72" spans="1:6" ht="67.5">
      <c r="A72" s="37" t="s">
        <v>359</v>
      </c>
      <c r="B72" s="32" t="s">
        <v>322</v>
      </c>
      <c r="C72" s="40"/>
      <c r="D72" s="43"/>
      <c r="E72" s="50"/>
      <c r="F72" s="212"/>
    </row>
    <row r="73" spans="1:6">
      <c r="A73" s="37"/>
      <c r="B73" s="42" t="s">
        <v>231</v>
      </c>
      <c r="C73" s="40">
        <v>119</v>
      </c>
      <c r="D73" s="43" t="s">
        <v>153</v>
      </c>
      <c r="E73" s="50"/>
      <c r="F73" s="212">
        <f>C73*E73</f>
        <v>0</v>
      </c>
    </row>
    <row r="74" spans="1:6" ht="15" customHeight="1">
      <c r="A74" s="37"/>
      <c r="B74" s="42"/>
      <c r="C74" s="40"/>
      <c r="D74" s="43"/>
      <c r="E74" s="50"/>
      <c r="F74" s="212"/>
    </row>
    <row r="75" spans="1:6" ht="42" customHeight="1">
      <c r="A75" s="37" t="s">
        <v>360</v>
      </c>
      <c r="B75" s="32" t="s">
        <v>336</v>
      </c>
      <c r="C75" s="40"/>
      <c r="D75" s="43"/>
      <c r="E75" s="50"/>
      <c r="F75" s="212"/>
    </row>
    <row r="76" spans="1:6">
      <c r="A76" s="37"/>
      <c r="B76" s="42" t="s">
        <v>234</v>
      </c>
      <c r="C76" s="40">
        <v>68</v>
      </c>
      <c r="D76" s="43" t="s">
        <v>153</v>
      </c>
      <c r="E76" s="50"/>
      <c r="F76" s="212">
        <f>C76*E76</f>
        <v>0</v>
      </c>
    </row>
    <row r="77" spans="1:6" ht="13.5" customHeight="1">
      <c r="A77" s="37"/>
      <c r="B77" s="32"/>
      <c r="C77" s="40"/>
      <c r="D77" s="43"/>
      <c r="E77" s="50"/>
      <c r="F77" s="212"/>
    </row>
    <row r="78" spans="1:6" ht="15" customHeight="1">
      <c r="A78" s="52" t="s">
        <v>361</v>
      </c>
      <c r="B78" s="49" t="s">
        <v>237</v>
      </c>
      <c r="C78" s="40"/>
      <c r="D78" s="40"/>
      <c r="E78" s="50"/>
      <c r="F78" s="212"/>
    </row>
    <row r="79" spans="1:6" ht="15" customHeight="1">
      <c r="A79" s="37"/>
      <c r="B79" s="49"/>
      <c r="C79" s="40"/>
      <c r="D79" s="40"/>
      <c r="E79" s="50"/>
      <c r="F79" s="212"/>
    </row>
    <row r="80" spans="1:6" ht="69.75" customHeight="1">
      <c r="A80" s="37"/>
      <c r="B80" s="216" t="s">
        <v>362</v>
      </c>
      <c r="C80" s="40"/>
      <c r="D80" s="43"/>
      <c r="E80" s="50"/>
      <c r="F80" s="212"/>
    </row>
    <row r="81" spans="1:6" ht="20.100000000000001" customHeight="1">
      <c r="A81" s="37" t="s">
        <v>363</v>
      </c>
      <c r="B81" s="32" t="s">
        <v>240</v>
      </c>
      <c r="C81" s="40">
        <f>12*2</f>
        <v>24</v>
      </c>
      <c r="D81" s="43" t="s">
        <v>153</v>
      </c>
      <c r="E81" s="50"/>
      <c r="F81" s="212">
        <f>C81*E81</f>
        <v>0</v>
      </c>
    </row>
    <row r="82" spans="1:6" ht="20.100000000000001" customHeight="1">
      <c r="A82" s="37" t="s">
        <v>364</v>
      </c>
      <c r="B82" s="32" t="s">
        <v>242</v>
      </c>
      <c r="C82" s="40">
        <f>13*2</f>
        <v>26</v>
      </c>
      <c r="D82" s="43" t="s">
        <v>153</v>
      </c>
      <c r="E82" s="50"/>
      <c r="F82" s="212">
        <f>C82*E82</f>
        <v>0</v>
      </c>
    </row>
    <row r="83" spans="1:6" ht="15" customHeight="1">
      <c r="A83" s="44"/>
      <c r="B83" s="45"/>
      <c r="C83" s="46"/>
      <c r="D83" s="196"/>
      <c r="E83" s="51"/>
      <c r="F83" s="214"/>
    </row>
    <row r="84" spans="1:6" ht="26.1" customHeight="1">
      <c r="A84" s="52" t="s">
        <v>365</v>
      </c>
      <c r="B84" s="49" t="s">
        <v>244</v>
      </c>
      <c r="C84" s="40"/>
      <c r="D84" s="40"/>
      <c r="E84" s="50"/>
      <c r="F84" s="212"/>
    </row>
    <row r="85" spans="1:6" ht="71.099999999999994" customHeight="1">
      <c r="A85" s="37"/>
      <c r="B85" s="32" t="s">
        <v>325</v>
      </c>
      <c r="C85" s="40"/>
      <c r="D85" s="43"/>
      <c r="E85" s="50"/>
      <c r="F85" s="212"/>
    </row>
    <row r="86" spans="1:6" ht="26.1" customHeight="1">
      <c r="A86" s="37" t="s">
        <v>366</v>
      </c>
      <c r="B86" s="32" t="s">
        <v>246</v>
      </c>
      <c r="C86" s="40">
        <v>17</v>
      </c>
      <c r="D86" s="43" t="s">
        <v>153</v>
      </c>
      <c r="E86" s="50"/>
      <c r="F86" s="212">
        <f>C86*E86</f>
        <v>0</v>
      </c>
    </row>
    <row r="87" spans="1:6" ht="26.1" customHeight="1">
      <c r="A87" s="37" t="s">
        <v>367</v>
      </c>
      <c r="B87" s="32" t="s">
        <v>247</v>
      </c>
      <c r="C87" s="40">
        <v>14</v>
      </c>
      <c r="D87" s="43" t="s">
        <v>153</v>
      </c>
      <c r="E87" s="50"/>
      <c r="F87" s="212">
        <f>C87*E87</f>
        <v>0</v>
      </c>
    </row>
    <row r="88" spans="1:6" ht="26.1" customHeight="1">
      <c r="A88" s="37" t="s">
        <v>368</v>
      </c>
      <c r="B88" s="32" t="s">
        <v>248</v>
      </c>
      <c r="C88" s="40">
        <v>9</v>
      </c>
      <c r="D88" s="43" t="s">
        <v>153</v>
      </c>
      <c r="E88" s="50"/>
      <c r="F88" s="212">
        <f>C88*E88</f>
        <v>0</v>
      </c>
    </row>
    <row r="89" spans="1:6" ht="26.1" customHeight="1">
      <c r="A89" s="37"/>
      <c r="B89" s="32"/>
      <c r="C89" s="40"/>
      <c r="D89" s="43"/>
      <c r="E89" s="50"/>
      <c r="F89" s="212"/>
    </row>
    <row r="90" spans="1:6" ht="15" customHeight="1">
      <c r="A90" s="52" t="s">
        <v>369</v>
      </c>
      <c r="B90" s="49" t="s">
        <v>370</v>
      </c>
      <c r="C90" s="40"/>
      <c r="D90" s="40"/>
      <c r="E90" s="50"/>
      <c r="F90" s="212"/>
    </row>
    <row r="91" spans="1:6" ht="15" customHeight="1">
      <c r="A91" s="37"/>
      <c r="B91" s="32"/>
      <c r="C91" s="40"/>
      <c r="D91" s="40"/>
      <c r="E91" s="50"/>
      <c r="F91" s="212"/>
    </row>
    <row r="92" spans="1:6" ht="67.5">
      <c r="A92" s="37" t="s">
        <v>371</v>
      </c>
      <c r="B92" s="32" t="s">
        <v>322</v>
      </c>
      <c r="C92" s="40"/>
      <c r="D92" s="43"/>
      <c r="E92" s="50"/>
      <c r="F92" s="212"/>
    </row>
    <row r="93" spans="1:6">
      <c r="A93" s="37"/>
      <c r="B93" s="42" t="s">
        <v>252</v>
      </c>
      <c r="C93" s="40">
        <v>186</v>
      </c>
      <c r="D93" s="43" t="s">
        <v>153</v>
      </c>
      <c r="E93" s="50"/>
      <c r="F93" s="212">
        <f>C93*E93</f>
        <v>0</v>
      </c>
    </row>
    <row r="94" spans="1:6" ht="15" customHeight="1">
      <c r="A94" s="37"/>
      <c r="B94" s="42"/>
      <c r="C94" s="40"/>
      <c r="D94" s="43"/>
      <c r="E94" s="50"/>
      <c r="F94" s="212"/>
    </row>
    <row r="95" spans="1:6" ht="67.5">
      <c r="A95" s="37" t="s">
        <v>372</v>
      </c>
      <c r="B95" s="32" t="s">
        <v>322</v>
      </c>
      <c r="C95" s="40"/>
      <c r="D95" s="43"/>
      <c r="E95" s="50"/>
      <c r="F95" s="212"/>
    </row>
    <row r="96" spans="1:6">
      <c r="A96" s="37"/>
      <c r="B96" s="42" t="s">
        <v>254</v>
      </c>
      <c r="C96" s="40">
        <v>44</v>
      </c>
      <c r="D96" s="43" t="s">
        <v>153</v>
      </c>
      <c r="E96" s="50"/>
      <c r="F96" s="212">
        <f>C96*E96</f>
        <v>0</v>
      </c>
    </row>
    <row r="97" spans="1:6" ht="18.95" customHeight="1">
      <c r="A97" s="37"/>
      <c r="B97" s="32"/>
      <c r="C97" s="40"/>
      <c r="D97" s="43"/>
      <c r="E97" s="50"/>
      <c r="F97" s="212"/>
    </row>
    <row r="98" spans="1:6" ht="67.5">
      <c r="A98" s="37" t="s">
        <v>373</v>
      </c>
      <c r="B98" s="32" t="s">
        <v>322</v>
      </c>
      <c r="C98" s="40"/>
      <c r="D98" s="43"/>
      <c r="E98" s="50"/>
      <c r="F98" s="212"/>
    </row>
    <row r="99" spans="1:6">
      <c r="A99" s="37"/>
      <c r="B99" s="42" t="s">
        <v>257</v>
      </c>
      <c r="C99" s="40">
        <v>66</v>
      </c>
      <c r="D99" s="43" t="s">
        <v>153</v>
      </c>
      <c r="E99" s="50"/>
      <c r="F99" s="212">
        <f>C99*E99</f>
        <v>0</v>
      </c>
    </row>
    <row r="100" spans="1:6" ht="15" customHeight="1">
      <c r="A100" s="37"/>
      <c r="B100" s="42"/>
      <c r="C100" s="40"/>
      <c r="D100" s="43"/>
      <c r="E100" s="50"/>
      <c r="F100" s="212"/>
    </row>
    <row r="101" spans="1:6" ht="78.95" customHeight="1">
      <c r="A101" s="37" t="s">
        <v>374</v>
      </c>
      <c r="B101" s="32" t="s">
        <v>325</v>
      </c>
      <c r="C101" s="40"/>
      <c r="D101" s="43"/>
      <c r="E101" s="50"/>
      <c r="F101" s="212"/>
    </row>
    <row r="102" spans="1:6" ht="20.100000000000001" customHeight="1">
      <c r="A102" s="37" t="s">
        <v>375</v>
      </c>
      <c r="B102" s="32" t="s">
        <v>260</v>
      </c>
      <c r="C102" s="40">
        <v>15</v>
      </c>
      <c r="D102" s="43" t="s">
        <v>153</v>
      </c>
      <c r="E102" s="50"/>
      <c r="F102" s="212">
        <f>C102*E102</f>
        <v>0</v>
      </c>
    </row>
    <row r="103" spans="1:6" ht="20.100000000000001" customHeight="1">
      <c r="A103" s="37" t="s">
        <v>376</v>
      </c>
      <c r="B103" s="32" t="s">
        <v>264</v>
      </c>
      <c r="C103" s="40">
        <v>25</v>
      </c>
      <c r="D103" s="43" t="s">
        <v>153</v>
      </c>
      <c r="E103" s="50"/>
      <c r="F103" s="212">
        <f t="shared" ref="F103:F110" si="1">C103*E103</f>
        <v>0</v>
      </c>
    </row>
    <row r="104" spans="1:6" ht="20.100000000000001" customHeight="1">
      <c r="A104" s="37" t="s">
        <v>377</v>
      </c>
      <c r="B104" s="32" t="s">
        <v>266</v>
      </c>
      <c r="C104" s="40">
        <v>8</v>
      </c>
      <c r="D104" s="43" t="s">
        <v>153</v>
      </c>
      <c r="E104" s="50"/>
      <c r="F104" s="212">
        <f t="shared" si="1"/>
        <v>0</v>
      </c>
    </row>
    <row r="105" spans="1:6" ht="20.100000000000001" customHeight="1">
      <c r="A105" s="37" t="s">
        <v>378</v>
      </c>
      <c r="B105" s="32" t="s">
        <v>268</v>
      </c>
      <c r="C105" s="40">
        <v>15</v>
      </c>
      <c r="D105" s="43" t="s">
        <v>153</v>
      </c>
      <c r="E105" s="50"/>
      <c r="F105" s="212">
        <f t="shared" si="1"/>
        <v>0</v>
      </c>
    </row>
    <row r="106" spans="1:6" ht="20.100000000000001" customHeight="1">
      <c r="A106" s="37" t="s">
        <v>379</v>
      </c>
      <c r="B106" s="45" t="s">
        <v>270</v>
      </c>
      <c r="C106" s="46">
        <v>15</v>
      </c>
      <c r="D106" s="196" t="s">
        <v>153</v>
      </c>
      <c r="E106" s="51"/>
      <c r="F106" s="214">
        <f t="shared" si="1"/>
        <v>0</v>
      </c>
    </row>
    <row r="107" spans="1:6" ht="20.100000000000001" customHeight="1">
      <c r="A107" s="37" t="s">
        <v>380</v>
      </c>
      <c r="B107" s="32" t="s">
        <v>272</v>
      </c>
      <c r="C107" s="40">
        <v>18</v>
      </c>
      <c r="D107" s="43" t="s">
        <v>153</v>
      </c>
      <c r="E107" s="50"/>
      <c r="F107" s="212">
        <f t="shared" si="1"/>
        <v>0</v>
      </c>
    </row>
    <row r="108" spans="1:6" ht="20.100000000000001" customHeight="1">
      <c r="A108" s="37" t="s">
        <v>381</v>
      </c>
      <c r="B108" s="32" t="s">
        <v>274</v>
      </c>
      <c r="C108" s="40">
        <v>16</v>
      </c>
      <c r="D108" s="43" t="s">
        <v>153</v>
      </c>
      <c r="E108" s="50"/>
      <c r="F108" s="212">
        <f t="shared" si="1"/>
        <v>0</v>
      </c>
    </row>
    <row r="109" spans="1:6" ht="20.100000000000001" customHeight="1">
      <c r="A109" s="37" t="s">
        <v>382</v>
      </c>
      <c r="B109" s="32" t="s">
        <v>276</v>
      </c>
      <c r="C109" s="40">
        <v>3</v>
      </c>
      <c r="D109" s="43" t="s">
        <v>153</v>
      </c>
      <c r="E109" s="50"/>
      <c r="F109" s="212">
        <f t="shared" si="1"/>
        <v>0</v>
      </c>
    </row>
    <row r="110" spans="1:6" ht="20.100000000000001" customHeight="1">
      <c r="A110" s="37" t="s">
        <v>383</v>
      </c>
      <c r="B110" s="32" t="s">
        <v>278</v>
      </c>
      <c r="C110" s="40">
        <v>3</v>
      </c>
      <c r="D110" s="43" t="s">
        <v>153</v>
      </c>
      <c r="E110" s="50"/>
      <c r="F110" s="212">
        <f t="shared" si="1"/>
        <v>0</v>
      </c>
    </row>
    <row r="111" spans="1:6" ht="26.1" customHeight="1">
      <c r="A111" s="37"/>
      <c r="B111" s="32"/>
      <c r="C111" s="40"/>
      <c r="D111" s="43"/>
      <c r="E111" s="50"/>
      <c r="F111" s="212"/>
    </row>
    <row r="112" spans="1:6" ht="54">
      <c r="A112" s="37" t="s">
        <v>384</v>
      </c>
      <c r="B112" s="32" t="s">
        <v>341</v>
      </c>
      <c r="C112" s="40"/>
      <c r="D112" s="43"/>
      <c r="E112" s="50"/>
      <c r="F112" s="212"/>
    </row>
    <row r="113" spans="1:6">
      <c r="A113" s="37"/>
      <c r="B113" s="32" t="s">
        <v>262</v>
      </c>
      <c r="C113" s="40">
        <v>13</v>
      </c>
      <c r="D113" s="43" t="s">
        <v>153</v>
      </c>
      <c r="E113" s="50"/>
      <c r="F113" s="212">
        <f>C113*E113</f>
        <v>0</v>
      </c>
    </row>
    <row r="114" spans="1:6" ht="26.1" customHeight="1">
      <c r="A114" s="37"/>
      <c r="B114" s="32"/>
      <c r="C114" s="40"/>
      <c r="D114" s="43"/>
      <c r="E114" s="50"/>
      <c r="F114" s="212"/>
    </row>
    <row r="115" spans="1:6" ht="15" customHeight="1">
      <c r="A115" s="52" t="s">
        <v>385</v>
      </c>
      <c r="B115" s="49" t="s">
        <v>386</v>
      </c>
      <c r="C115" s="40"/>
      <c r="D115" s="40"/>
      <c r="E115" s="50"/>
      <c r="F115" s="212"/>
    </row>
    <row r="116" spans="1:6" ht="15" customHeight="1">
      <c r="A116" s="37"/>
      <c r="B116" s="49"/>
      <c r="C116" s="40"/>
      <c r="D116" s="40"/>
      <c r="E116" s="50"/>
      <c r="F116" s="212"/>
    </row>
    <row r="117" spans="1:6" ht="67.5">
      <c r="A117" s="37" t="s">
        <v>387</v>
      </c>
      <c r="B117" s="32" t="s">
        <v>322</v>
      </c>
      <c r="C117" s="40"/>
      <c r="D117" s="43"/>
      <c r="E117" s="50"/>
      <c r="F117" s="212"/>
    </row>
    <row r="118" spans="1:6">
      <c r="A118" s="37"/>
      <c r="B118" s="42" t="s">
        <v>282</v>
      </c>
      <c r="C118" s="40">
        <v>21</v>
      </c>
      <c r="D118" s="43" t="s">
        <v>153</v>
      </c>
      <c r="E118" s="50"/>
      <c r="F118" s="212">
        <f>C118*E118</f>
        <v>0</v>
      </c>
    </row>
    <row r="119" spans="1:6" ht="18.95" customHeight="1">
      <c r="A119" s="37"/>
      <c r="B119" s="32"/>
      <c r="C119" s="40"/>
      <c r="D119" s="43"/>
      <c r="E119" s="50"/>
      <c r="F119" s="212"/>
    </row>
    <row r="120" spans="1:6" ht="67.5">
      <c r="A120" s="37" t="s">
        <v>388</v>
      </c>
      <c r="B120" s="32" t="s">
        <v>325</v>
      </c>
      <c r="C120" s="40"/>
      <c r="D120" s="43"/>
      <c r="E120" s="50"/>
      <c r="F120" s="212"/>
    </row>
    <row r="121" spans="1:6">
      <c r="A121" s="37"/>
      <c r="B121" s="42" t="s">
        <v>284</v>
      </c>
      <c r="C121" s="40">
        <v>21</v>
      </c>
      <c r="D121" s="43" t="s">
        <v>153</v>
      </c>
      <c r="E121" s="50"/>
      <c r="F121" s="212">
        <f>C121*E121</f>
        <v>0</v>
      </c>
    </row>
    <row r="122" spans="1:6" ht="15" customHeight="1">
      <c r="A122" s="37"/>
      <c r="B122" s="32"/>
      <c r="C122" s="40"/>
      <c r="D122" s="43"/>
      <c r="E122" s="50"/>
      <c r="F122" s="212"/>
    </row>
    <row r="123" spans="1:6" ht="67.5">
      <c r="A123" s="37" t="s">
        <v>389</v>
      </c>
      <c r="B123" s="32" t="s">
        <v>390</v>
      </c>
      <c r="C123" s="40"/>
      <c r="D123" s="43"/>
      <c r="E123" s="50"/>
      <c r="F123" s="212"/>
    </row>
    <row r="124" spans="1:6">
      <c r="A124" s="37"/>
      <c r="B124" s="42" t="s">
        <v>287</v>
      </c>
      <c r="C124" s="40">
        <v>49</v>
      </c>
      <c r="D124" s="43" t="s">
        <v>153</v>
      </c>
      <c r="E124" s="50"/>
      <c r="F124" s="212">
        <f>C124*E124</f>
        <v>0</v>
      </c>
    </row>
    <row r="125" spans="1:6" ht="15" customHeight="1">
      <c r="A125" s="37"/>
      <c r="B125" s="32"/>
      <c r="C125" s="40"/>
      <c r="D125" s="43"/>
      <c r="E125" s="50"/>
      <c r="F125" s="212"/>
    </row>
    <row r="126" spans="1:6" ht="15" customHeight="1">
      <c r="A126" s="52" t="s">
        <v>391</v>
      </c>
      <c r="B126" s="49" t="s">
        <v>370</v>
      </c>
      <c r="C126" s="40"/>
      <c r="D126" s="40"/>
      <c r="E126" s="50"/>
      <c r="F126" s="212"/>
    </row>
    <row r="127" spans="1:6" ht="15" customHeight="1">
      <c r="A127" s="37"/>
      <c r="B127" s="32"/>
      <c r="C127" s="40"/>
      <c r="D127" s="40"/>
      <c r="E127" s="50"/>
      <c r="F127" s="212"/>
    </row>
    <row r="128" spans="1:6" ht="67.5">
      <c r="A128" s="37" t="s">
        <v>392</v>
      </c>
      <c r="B128" s="32" t="s">
        <v>322</v>
      </c>
      <c r="C128" s="40"/>
      <c r="D128" s="43"/>
      <c r="E128" s="50"/>
      <c r="F128" s="212"/>
    </row>
    <row r="129" spans="1:6">
      <c r="A129" s="37"/>
      <c r="B129" s="42" t="s">
        <v>291</v>
      </c>
      <c r="C129" s="40">
        <v>34</v>
      </c>
      <c r="D129" s="43" t="s">
        <v>153</v>
      </c>
      <c r="E129" s="50"/>
      <c r="F129" s="212">
        <f>C129*E129</f>
        <v>0</v>
      </c>
    </row>
    <row r="130" spans="1:6" ht="14.1" customHeight="1">
      <c r="A130" s="44"/>
      <c r="B130" s="45"/>
      <c r="C130" s="46"/>
      <c r="D130" s="196"/>
      <c r="E130" s="51"/>
      <c r="F130" s="214"/>
    </row>
    <row r="131" spans="1:6" ht="75" customHeight="1">
      <c r="A131" s="37" t="s">
        <v>393</v>
      </c>
      <c r="B131" s="32" t="s">
        <v>322</v>
      </c>
      <c r="C131" s="40"/>
      <c r="D131" s="43"/>
      <c r="E131" s="50"/>
      <c r="F131" s="212"/>
    </row>
    <row r="132" spans="1:6" ht="15" customHeight="1">
      <c r="A132" s="37" t="s">
        <v>394</v>
      </c>
      <c r="B132" s="32" t="s">
        <v>294</v>
      </c>
      <c r="C132" s="40">
        <v>22</v>
      </c>
      <c r="D132" s="43" t="s">
        <v>153</v>
      </c>
      <c r="E132" s="50"/>
      <c r="F132" s="212">
        <f>C132*E132</f>
        <v>0</v>
      </c>
    </row>
    <row r="133" spans="1:6" ht="15" customHeight="1">
      <c r="A133" s="37" t="s">
        <v>395</v>
      </c>
      <c r="B133" s="32" t="s">
        <v>296</v>
      </c>
      <c r="C133" s="40">
        <f>15*5</f>
        <v>75</v>
      </c>
      <c r="D133" s="43" t="s">
        <v>153</v>
      </c>
      <c r="E133" s="50"/>
      <c r="F133" s="212">
        <f>C133*E133</f>
        <v>0</v>
      </c>
    </row>
    <row r="134" spans="1:6" ht="15" customHeight="1">
      <c r="A134" s="37" t="s">
        <v>396</v>
      </c>
      <c r="B134" s="32" t="s">
        <v>300</v>
      </c>
      <c r="C134" s="40">
        <f>22*2</f>
        <v>44</v>
      </c>
      <c r="D134" s="43" t="s">
        <v>153</v>
      </c>
      <c r="E134" s="50"/>
      <c r="F134" s="212">
        <f>C134*E134</f>
        <v>0</v>
      </c>
    </row>
    <row r="135" spans="1:6" ht="15" customHeight="1">
      <c r="A135" s="37"/>
      <c r="B135" s="32"/>
      <c r="C135" s="40"/>
      <c r="D135" s="43"/>
      <c r="E135" s="50"/>
      <c r="F135" s="212"/>
    </row>
    <row r="136" spans="1:6" ht="57.95" customHeight="1">
      <c r="A136" s="37" t="s">
        <v>397</v>
      </c>
      <c r="B136" s="32" t="s">
        <v>398</v>
      </c>
      <c r="C136" s="40"/>
      <c r="D136" s="43"/>
      <c r="E136" s="50"/>
      <c r="F136" s="212"/>
    </row>
    <row r="137" spans="1:6" ht="15" customHeight="1">
      <c r="A137" s="37"/>
      <c r="B137" s="32" t="s">
        <v>298</v>
      </c>
      <c r="C137" s="40">
        <v>24</v>
      </c>
      <c r="D137" s="43" t="s">
        <v>153</v>
      </c>
      <c r="E137" s="50"/>
      <c r="F137" s="212">
        <f>C137*E137</f>
        <v>0</v>
      </c>
    </row>
    <row r="138" spans="1:6" ht="15" customHeight="1">
      <c r="A138" s="37"/>
      <c r="B138" s="32"/>
      <c r="C138" s="40"/>
      <c r="D138" s="43"/>
      <c r="E138" s="50"/>
      <c r="F138" s="212"/>
    </row>
    <row r="139" spans="1:6" ht="15" customHeight="1">
      <c r="A139" s="37"/>
      <c r="B139" s="32"/>
      <c r="C139" s="40"/>
      <c r="D139" s="43"/>
      <c r="E139" s="50"/>
      <c r="F139" s="212"/>
    </row>
    <row r="140" spans="1:6" ht="15" customHeight="1">
      <c r="A140" s="37"/>
      <c r="B140" s="32"/>
      <c r="C140" s="40"/>
      <c r="D140" s="43"/>
      <c r="E140" s="50"/>
      <c r="F140" s="212"/>
    </row>
    <row r="141" spans="1:6" ht="15" customHeight="1">
      <c r="A141" s="52" t="s">
        <v>399</v>
      </c>
      <c r="B141" s="49" t="s">
        <v>400</v>
      </c>
      <c r="C141" s="40"/>
      <c r="D141" s="40"/>
      <c r="E141" s="50"/>
      <c r="F141" s="212"/>
    </row>
    <row r="142" spans="1:6" ht="15" customHeight="1">
      <c r="A142" s="37"/>
      <c r="B142" s="32"/>
      <c r="C142" s="40"/>
      <c r="D142" s="43"/>
      <c r="E142" s="50"/>
      <c r="F142" s="212"/>
    </row>
    <row r="143" spans="1:6" ht="67.5">
      <c r="A143" s="37" t="s">
        <v>401</v>
      </c>
      <c r="B143" s="32" t="s">
        <v>322</v>
      </c>
      <c r="C143" s="40"/>
      <c r="D143" s="43"/>
      <c r="E143" s="50"/>
      <c r="F143" s="212"/>
    </row>
    <row r="144" spans="1:6">
      <c r="A144" s="37"/>
      <c r="B144" s="42" t="s">
        <v>304</v>
      </c>
      <c r="C144" s="40">
        <v>85</v>
      </c>
      <c r="D144" s="43" t="s">
        <v>153</v>
      </c>
      <c r="E144" s="50"/>
      <c r="F144" s="212">
        <f>C144*E144</f>
        <v>0</v>
      </c>
    </row>
    <row r="145" spans="1:6" ht="15" customHeight="1">
      <c r="A145" s="37"/>
      <c r="B145" s="32"/>
      <c r="C145" s="40"/>
      <c r="D145" s="43"/>
      <c r="E145" s="50"/>
      <c r="F145" s="212"/>
    </row>
    <row r="146" spans="1:6" ht="17.100000000000001" customHeight="1">
      <c r="A146" s="52" t="s">
        <v>402</v>
      </c>
      <c r="B146" s="49" t="s">
        <v>403</v>
      </c>
      <c r="C146" s="40"/>
      <c r="D146" s="40"/>
      <c r="E146" s="50"/>
      <c r="F146" s="212"/>
    </row>
    <row r="147" spans="1:6" ht="15" customHeight="1">
      <c r="A147" s="37"/>
      <c r="B147" s="49"/>
      <c r="C147" s="40"/>
      <c r="D147" s="40"/>
      <c r="E147" s="50"/>
      <c r="F147" s="212"/>
    </row>
    <row r="148" spans="1:6" ht="81" customHeight="1">
      <c r="A148" s="37" t="s">
        <v>404</v>
      </c>
      <c r="B148" s="216" t="s">
        <v>362</v>
      </c>
      <c r="C148" s="40"/>
      <c r="D148" s="43"/>
      <c r="E148" s="50"/>
      <c r="F148" s="212"/>
    </row>
    <row r="149" spans="1:6" ht="15" customHeight="1">
      <c r="A149" s="37" t="s">
        <v>405</v>
      </c>
      <c r="B149" s="32" t="s">
        <v>309</v>
      </c>
      <c r="C149" s="40">
        <v>12</v>
      </c>
      <c r="D149" s="43" t="s">
        <v>153</v>
      </c>
      <c r="E149" s="50"/>
      <c r="F149" s="212">
        <f t="shared" ref="F149:F155" si="2">C149*E149</f>
        <v>0</v>
      </c>
    </row>
    <row r="150" spans="1:6" ht="14.1" customHeight="1">
      <c r="A150" s="37" t="s">
        <v>406</v>
      </c>
      <c r="B150" s="32" t="s">
        <v>311</v>
      </c>
      <c r="C150" s="40">
        <v>13</v>
      </c>
      <c r="D150" s="43" t="s">
        <v>153</v>
      </c>
      <c r="E150" s="50"/>
      <c r="F150" s="212">
        <f t="shared" si="2"/>
        <v>0</v>
      </c>
    </row>
    <row r="151" spans="1:6" ht="15" customHeight="1">
      <c r="A151" s="37"/>
      <c r="B151" s="32"/>
      <c r="C151" s="40"/>
      <c r="D151" s="43"/>
      <c r="E151" s="50"/>
      <c r="F151" s="212"/>
    </row>
    <row r="152" spans="1:6" ht="15" customHeight="1">
      <c r="A152" s="37"/>
      <c r="B152" s="32"/>
      <c r="C152" s="40"/>
      <c r="D152" s="43"/>
      <c r="E152" s="50"/>
      <c r="F152" s="212"/>
    </row>
    <row r="153" spans="1:6" ht="51" customHeight="1">
      <c r="A153" s="52" t="s">
        <v>407</v>
      </c>
      <c r="B153" s="49" t="s">
        <v>408</v>
      </c>
      <c r="C153" s="40"/>
      <c r="D153" s="43"/>
      <c r="E153" s="50"/>
      <c r="F153" s="212"/>
    </row>
    <row r="154" spans="1:6" ht="15" customHeight="1">
      <c r="A154" s="37" t="s">
        <v>409</v>
      </c>
      <c r="B154" s="32" t="s">
        <v>410</v>
      </c>
      <c r="C154" s="40">
        <f>ROUND((0.9*9+1.8+3.4+1.8+0.9+0.7*2+1.8+0.9*3+0.9*3+1.8*2+16*0.9+4*0.9),0)</f>
        <v>46</v>
      </c>
      <c r="D154" s="43" t="s">
        <v>411</v>
      </c>
      <c r="E154" s="50"/>
      <c r="F154" s="212">
        <f t="shared" si="2"/>
        <v>0</v>
      </c>
    </row>
    <row r="155" spans="1:6" ht="15" customHeight="1">
      <c r="A155" s="37" t="s">
        <v>412</v>
      </c>
      <c r="B155" s="32" t="s">
        <v>413</v>
      </c>
      <c r="C155" s="40">
        <f>ROUND((1.8*2+1.5+22*0.9+0.7*2),0)</f>
        <v>26</v>
      </c>
      <c r="D155" s="43" t="s">
        <v>411</v>
      </c>
      <c r="E155" s="50"/>
      <c r="F155" s="212">
        <f t="shared" si="2"/>
        <v>0</v>
      </c>
    </row>
    <row r="156" spans="1:6" ht="15" customHeight="1">
      <c r="A156" s="37"/>
      <c r="B156" s="32"/>
      <c r="C156" s="40"/>
      <c r="D156" s="43"/>
      <c r="E156" s="50"/>
      <c r="F156" s="212"/>
    </row>
    <row r="157" spans="1:6" ht="51" customHeight="1">
      <c r="A157" s="52" t="s">
        <v>414</v>
      </c>
      <c r="B157" s="49" t="s">
        <v>415</v>
      </c>
      <c r="C157" s="40"/>
      <c r="D157" s="43"/>
      <c r="E157" s="50"/>
      <c r="F157" s="212"/>
    </row>
    <row r="158" spans="1:6" ht="15" customHeight="1">
      <c r="A158" s="44" t="s">
        <v>416</v>
      </c>
      <c r="B158" s="45" t="s">
        <v>417</v>
      </c>
      <c r="C158" s="46">
        <f>ROUND((12+14.1*1.5+13+15.3*1.5)*2,0)</f>
        <v>138</v>
      </c>
      <c r="D158" s="196" t="s">
        <v>153</v>
      </c>
      <c r="E158" s="51"/>
      <c r="F158" s="214">
        <f>C158*E158</f>
        <v>0</v>
      </c>
    </row>
    <row r="159" spans="1:6" ht="15" customHeight="1">
      <c r="A159" s="37" t="s">
        <v>418</v>
      </c>
      <c r="B159" s="32" t="s">
        <v>419</v>
      </c>
      <c r="C159" s="40">
        <f>ROUND((12+14.1*1.5+13+15.3*1.5),0)</f>
        <v>69</v>
      </c>
      <c r="D159" s="43" t="s">
        <v>153</v>
      </c>
      <c r="E159" s="50"/>
      <c r="F159" s="212">
        <f>C159*E159</f>
        <v>0</v>
      </c>
    </row>
    <row r="160" spans="1:6" ht="15" customHeight="1">
      <c r="A160" s="37"/>
      <c r="B160" s="32"/>
      <c r="C160" s="40"/>
      <c r="D160" s="43"/>
      <c r="E160" s="50"/>
      <c r="F160" s="212"/>
    </row>
    <row r="161" spans="1:6" ht="30" customHeight="1">
      <c r="A161" s="37"/>
      <c r="B161" s="217" t="s">
        <v>420</v>
      </c>
      <c r="C161" s="40"/>
      <c r="D161" s="43"/>
      <c r="E161" s="50"/>
      <c r="F161" s="212"/>
    </row>
    <row r="162" spans="1:6" ht="15.95" customHeight="1">
      <c r="A162" s="52" t="s">
        <v>421</v>
      </c>
      <c r="B162" s="49" t="s">
        <v>422</v>
      </c>
      <c r="C162" s="40"/>
      <c r="D162" s="40"/>
      <c r="E162" s="50"/>
      <c r="F162" s="212"/>
    </row>
    <row r="163" spans="1:6">
      <c r="A163" s="37"/>
      <c r="B163" s="32"/>
      <c r="C163" s="40"/>
      <c r="D163" s="40"/>
      <c r="E163" s="50"/>
      <c r="F163" s="212"/>
    </row>
    <row r="164" spans="1:6" ht="14.1" customHeight="1">
      <c r="A164" s="37" t="s">
        <v>423</v>
      </c>
      <c r="B164" s="42" t="s">
        <v>176</v>
      </c>
      <c r="C164" s="40"/>
      <c r="D164" s="43"/>
      <c r="E164" s="50"/>
      <c r="F164" s="212"/>
    </row>
    <row r="165" spans="1:6" ht="71.099999999999994" customHeight="1">
      <c r="A165" s="37" t="s">
        <v>424</v>
      </c>
      <c r="B165" s="339" t="s">
        <v>1353</v>
      </c>
      <c r="C165" s="40">
        <f>ROUND(2.6*13.15,0)</f>
        <v>34</v>
      </c>
      <c r="D165" s="43" t="s">
        <v>153</v>
      </c>
      <c r="E165" s="50"/>
      <c r="F165" s="212">
        <f t="shared" ref="F165:F174" si="3">C165*E165</f>
        <v>0</v>
      </c>
    </row>
    <row r="166" spans="1:6" ht="56.1" customHeight="1">
      <c r="A166" s="37" t="s">
        <v>425</v>
      </c>
      <c r="B166" s="339" t="s">
        <v>1354</v>
      </c>
      <c r="C166" s="40">
        <f>ROUND(1*13.15,0)</f>
        <v>13</v>
      </c>
      <c r="D166" s="43" t="s">
        <v>411</v>
      </c>
      <c r="E166" s="50"/>
      <c r="F166" s="212">
        <f t="shared" si="3"/>
        <v>0</v>
      </c>
    </row>
    <row r="167" spans="1:6" ht="60" customHeight="1">
      <c r="A167" s="37" t="s">
        <v>426</v>
      </c>
      <c r="B167" s="339" t="s">
        <v>1355</v>
      </c>
      <c r="C167" s="40">
        <f>ROUND(2.6*19.65,0)</f>
        <v>51</v>
      </c>
      <c r="D167" s="43" t="s">
        <v>153</v>
      </c>
      <c r="E167" s="50"/>
      <c r="F167" s="212">
        <f t="shared" si="3"/>
        <v>0</v>
      </c>
    </row>
    <row r="168" spans="1:6" ht="51" customHeight="1">
      <c r="A168" s="37" t="s">
        <v>427</v>
      </c>
      <c r="B168" s="339" t="s">
        <v>1356</v>
      </c>
      <c r="C168" s="40">
        <f>ROUND(1*19.65,0)</f>
        <v>20</v>
      </c>
      <c r="D168" s="43" t="s">
        <v>411</v>
      </c>
      <c r="E168" s="50"/>
      <c r="F168" s="212">
        <f t="shared" si="3"/>
        <v>0</v>
      </c>
    </row>
    <row r="169" spans="1:6" ht="60" customHeight="1">
      <c r="A169" s="37" t="s">
        <v>428</v>
      </c>
      <c r="B169" s="339" t="s">
        <v>1357</v>
      </c>
      <c r="C169" s="40">
        <f>ROUND(2.6*(1.95+3.8),0)</f>
        <v>15</v>
      </c>
      <c r="D169" s="43" t="s">
        <v>153</v>
      </c>
      <c r="E169" s="50"/>
      <c r="F169" s="212">
        <f t="shared" si="3"/>
        <v>0</v>
      </c>
    </row>
    <row r="170" spans="1:6" ht="51" customHeight="1">
      <c r="A170" s="37" t="s">
        <v>429</v>
      </c>
      <c r="B170" s="339" t="s">
        <v>1358</v>
      </c>
      <c r="C170" s="40">
        <f>ROUND(1*(1.95+3.8),0)</f>
        <v>6</v>
      </c>
      <c r="D170" s="43" t="s">
        <v>411</v>
      </c>
      <c r="E170" s="50"/>
      <c r="F170" s="212">
        <f t="shared" si="3"/>
        <v>0</v>
      </c>
    </row>
    <row r="171" spans="1:6" ht="60.95" customHeight="1">
      <c r="A171" s="37" t="s">
        <v>430</v>
      </c>
      <c r="B171" s="339" t="s">
        <v>1359</v>
      </c>
      <c r="C171" s="40">
        <f>ROUND(2.6*(14.5+9.9),0)</f>
        <v>63</v>
      </c>
      <c r="D171" s="43" t="s">
        <v>153</v>
      </c>
      <c r="E171" s="50"/>
      <c r="F171" s="212">
        <f t="shared" si="3"/>
        <v>0</v>
      </c>
    </row>
    <row r="172" spans="1:6" ht="56.1" customHeight="1">
      <c r="A172" s="37" t="s">
        <v>431</v>
      </c>
      <c r="B172" s="339" t="s">
        <v>1360</v>
      </c>
      <c r="C172" s="40">
        <f>ROUND(1*(14.5+9.9),0)</f>
        <v>24</v>
      </c>
      <c r="D172" s="43" t="s">
        <v>411</v>
      </c>
      <c r="E172" s="50"/>
      <c r="F172" s="212">
        <f t="shared" si="3"/>
        <v>0</v>
      </c>
    </row>
    <row r="173" spans="1:6" ht="72" customHeight="1">
      <c r="A173" s="37" t="s">
        <v>432</v>
      </c>
      <c r="B173" s="339" t="s">
        <v>1361</v>
      </c>
      <c r="C173" s="40">
        <f>ROUND(2.6*(4.2*4+4*4+3.15*2),0)</f>
        <v>102</v>
      </c>
      <c r="D173" s="43" t="s">
        <v>153</v>
      </c>
      <c r="E173" s="50"/>
      <c r="F173" s="212">
        <f t="shared" si="3"/>
        <v>0</v>
      </c>
    </row>
    <row r="174" spans="1:6" ht="45.95" customHeight="1">
      <c r="A174" s="37" t="s">
        <v>433</v>
      </c>
      <c r="B174" s="339" t="s">
        <v>1362</v>
      </c>
      <c r="C174" s="40">
        <f>ROUND(1*(4.2*4+4*4+3.15*2),0)</f>
        <v>39</v>
      </c>
      <c r="D174" s="43" t="s">
        <v>411</v>
      </c>
      <c r="E174" s="50"/>
      <c r="F174" s="212">
        <f t="shared" si="3"/>
        <v>0</v>
      </c>
    </row>
    <row r="175" spans="1:6">
      <c r="A175" s="44"/>
      <c r="B175" s="215"/>
      <c r="C175" s="46"/>
      <c r="D175" s="196"/>
      <c r="E175" s="51"/>
      <c r="F175" s="214"/>
    </row>
    <row r="176" spans="1:6" ht="23.1" customHeight="1">
      <c r="A176" s="37" t="s">
        <v>434</v>
      </c>
      <c r="B176" s="42" t="s">
        <v>179</v>
      </c>
      <c r="C176" s="40"/>
      <c r="D176" s="43"/>
      <c r="E176" s="50"/>
      <c r="F176" s="212"/>
    </row>
    <row r="177" spans="1:6" ht="60" customHeight="1">
      <c r="A177" s="37" t="s">
        <v>435</v>
      </c>
      <c r="B177" s="32" t="s">
        <v>436</v>
      </c>
      <c r="C177" s="40">
        <f>ROUND(2.6*15.2,0)</f>
        <v>40</v>
      </c>
      <c r="D177" s="43" t="s">
        <v>153</v>
      </c>
      <c r="E177" s="50"/>
      <c r="F177" s="212">
        <f t="shared" ref="F177:F182" si="4">C177*E177</f>
        <v>0</v>
      </c>
    </row>
    <row r="178" spans="1:6" ht="44.1" customHeight="1">
      <c r="A178" s="37" t="s">
        <v>437</v>
      </c>
      <c r="B178" s="32" t="s">
        <v>438</v>
      </c>
      <c r="C178" s="40">
        <v>15.2</v>
      </c>
      <c r="D178" s="43" t="s">
        <v>411</v>
      </c>
      <c r="E178" s="50"/>
      <c r="F178" s="212">
        <f t="shared" si="4"/>
        <v>0</v>
      </c>
    </row>
    <row r="179" spans="1:6">
      <c r="A179" s="37"/>
      <c r="B179" s="42"/>
      <c r="C179" s="40"/>
      <c r="D179" s="43"/>
      <c r="E179" s="50"/>
      <c r="F179" s="212"/>
    </row>
    <row r="180" spans="1:6" ht="33" customHeight="1">
      <c r="A180" s="37" t="s">
        <v>439</v>
      </c>
      <c r="B180" s="42" t="s">
        <v>440</v>
      </c>
      <c r="C180" s="40"/>
      <c r="D180" s="43"/>
      <c r="E180" s="50"/>
      <c r="F180" s="212"/>
    </row>
    <row r="181" spans="1:6" ht="54">
      <c r="A181" s="37" t="s">
        <v>441</v>
      </c>
      <c r="B181" s="32" t="s">
        <v>442</v>
      </c>
      <c r="C181" s="40">
        <f>ROUND(2.6*((4.75*2+3.2)*4),0)</f>
        <v>132</v>
      </c>
      <c r="D181" s="43" t="s">
        <v>153</v>
      </c>
      <c r="E181" s="50"/>
      <c r="F181" s="212">
        <f t="shared" si="4"/>
        <v>0</v>
      </c>
    </row>
    <row r="182" spans="1:6" ht="45.95" customHeight="1">
      <c r="A182" s="37" t="s">
        <v>443</v>
      </c>
      <c r="B182" s="32" t="s">
        <v>438</v>
      </c>
      <c r="C182" s="40">
        <f>ROUND(1*((4.75*2+3.2)*4),0)</f>
        <v>51</v>
      </c>
      <c r="D182" s="43" t="s">
        <v>411</v>
      </c>
      <c r="E182" s="50"/>
      <c r="F182" s="212">
        <f t="shared" si="4"/>
        <v>0</v>
      </c>
    </row>
    <row r="183" spans="1:6">
      <c r="A183" s="37"/>
      <c r="B183" s="42"/>
      <c r="C183" s="40"/>
      <c r="D183" s="43"/>
      <c r="E183" s="50"/>
      <c r="F183" s="212"/>
    </row>
    <row r="184" spans="1:6" ht="24.95" customHeight="1">
      <c r="A184" s="37" t="s">
        <v>444</v>
      </c>
      <c r="B184" s="42" t="s">
        <v>445</v>
      </c>
      <c r="C184" s="40"/>
      <c r="D184" s="43"/>
      <c r="E184" s="50"/>
      <c r="F184" s="212"/>
    </row>
    <row r="185" spans="1:6" ht="60.95" customHeight="1">
      <c r="A185" s="37" t="s">
        <v>446</v>
      </c>
      <c r="B185" s="32" t="s">
        <v>447</v>
      </c>
      <c r="C185" s="40">
        <f>ROUND(2.6*((19-2.85)*2),0)</f>
        <v>84</v>
      </c>
      <c r="D185" s="43" t="s">
        <v>153</v>
      </c>
      <c r="E185" s="50"/>
      <c r="F185" s="212">
        <f t="shared" ref="F185:F196" si="5">C185*E185</f>
        <v>0</v>
      </c>
    </row>
    <row r="186" spans="1:6" ht="47.1" customHeight="1">
      <c r="A186" s="37" t="s">
        <v>448</v>
      </c>
      <c r="B186" s="32" t="s">
        <v>438</v>
      </c>
      <c r="C186" s="40">
        <f>ROUND(1*((19-2.85)*2),0)</f>
        <v>32</v>
      </c>
      <c r="D186" s="43" t="s">
        <v>411</v>
      </c>
      <c r="E186" s="50"/>
      <c r="F186" s="212">
        <f t="shared" si="5"/>
        <v>0</v>
      </c>
    </row>
    <row r="187" spans="1:6">
      <c r="A187" s="37"/>
      <c r="B187" s="42"/>
      <c r="C187" s="40"/>
      <c r="D187" s="43"/>
      <c r="E187" s="50"/>
      <c r="F187" s="212"/>
    </row>
    <row r="188" spans="1:6" ht="29.1" customHeight="1">
      <c r="A188" s="37" t="s">
        <v>449</v>
      </c>
      <c r="B188" s="218" t="s">
        <v>182</v>
      </c>
      <c r="C188" s="40"/>
      <c r="D188" s="43"/>
      <c r="E188" s="50"/>
      <c r="F188" s="212"/>
    </row>
    <row r="189" spans="1:6" ht="63" customHeight="1">
      <c r="A189" s="37" t="s">
        <v>450</v>
      </c>
      <c r="B189" s="339" t="s">
        <v>1363</v>
      </c>
      <c r="C189" s="40">
        <f>ROUND(2.6*4.94,0)</f>
        <v>13</v>
      </c>
      <c r="D189" s="43" t="s">
        <v>153</v>
      </c>
      <c r="E189" s="50"/>
      <c r="F189" s="212">
        <f t="shared" si="5"/>
        <v>0</v>
      </c>
    </row>
    <row r="190" spans="1:6" ht="42.95" customHeight="1">
      <c r="A190" s="37" t="s">
        <v>451</v>
      </c>
      <c r="B190" s="339" t="s">
        <v>1364</v>
      </c>
      <c r="C190" s="40">
        <f>ROUND(1*4.94,0)</f>
        <v>5</v>
      </c>
      <c r="D190" s="43" t="s">
        <v>411</v>
      </c>
      <c r="E190" s="50"/>
      <c r="F190" s="212">
        <f t="shared" si="5"/>
        <v>0</v>
      </c>
    </row>
    <row r="191" spans="1:6" ht="66" customHeight="1">
      <c r="A191" s="37" t="s">
        <v>452</v>
      </c>
      <c r="B191" s="339" t="s">
        <v>1365</v>
      </c>
      <c r="C191" s="40">
        <f>ROUND(2.6*4.1,0)</f>
        <v>11</v>
      </c>
      <c r="D191" s="43" t="s">
        <v>153</v>
      </c>
      <c r="E191" s="50"/>
      <c r="F191" s="212">
        <f t="shared" si="5"/>
        <v>0</v>
      </c>
    </row>
    <row r="192" spans="1:6" ht="48.95" customHeight="1">
      <c r="A192" s="44" t="s">
        <v>453</v>
      </c>
      <c r="B192" s="343" t="s">
        <v>1366</v>
      </c>
      <c r="C192" s="46">
        <f>ROUND(1*4.1,0)</f>
        <v>4</v>
      </c>
      <c r="D192" s="196" t="s">
        <v>411</v>
      </c>
      <c r="E192" s="51"/>
      <c r="F192" s="214">
        <f t="shared" si="5"/>
        <v>0</v>
      </c>
    </row>
    <row r="193" spans="1:6" ht="68.099999999999994" customHeight="1">
      <c r="A193" s="37" t="s">
        <v>454</v>
      </c>
      <c r="B193" s="343" t="s">
        <v>1367</v>
      </c>
      <c r="C193" s="46">
        <f>ROUND(2.6*5.49,0)</f>
        <v>14</v>
      </c>
      <c r="D193" s="196" t="s">
        <v>153</v>
      </c>
      <c r="E193" s="51"/>
      <c r="F193" s="214">
        <f t="shared" si="5"/>
        <v>0</v>
      </c>
    </row>
    <row r="194" spans="1:6" ht="45.95" customHeight="1">
      <c r="A194" s="37" t="s">
        <v>455</v>
      </c>
      <c r="B194" s="339" t="s">
        <v>1368</v>
      </c>
      <c r="C194" s="40">
        <f>ROUND(1*5.49,0)</f>
        <v>5</v>
      </c>
      <c r="D194" s="43" t="s">
        <v>411</v>
      </c>
      <c r="E194" s="50"/>
      <c r="F194" s="212">
        <f t="shared" si="5"/>
        <v>0</v>
      </c>
    </row>
    <row r="195" spans="1:6" ht="65.099999999999994" customHeight="1">
      <c r="A195" s="37" t="s">
        <v>456</v>
      </c>
      <c r="B195" s="339" t="s">
        <v>1369</v>
      </c>
      <c r="C195" s="40">
        <f>ROUND(2.6*5.45,0)</f>
        <v>14</v>
      </c>
      <c r="D195" s="43" t="s">
        <v>153</v>
      </c>
      <c r="E195" s="50"/>
      <c r="F195" s="212">
        <f t="shared" si="5"/>
        <v>0</v>
      </c>
    </row>
    <row r="196" spans="1:6" ht="54.95" customHeight="1">
      <c r="A196" s="37" t="s">
        <v>457</v>
      </c>
      <c r="B196" s="339" t="s">
        <v>1370</v>
      </c>
      <c r="C196" s="40">
        <f>ROUND(1*5.45,0)</f>
        <v>5</v>
      </c>
      <c r="D196" s="43" t="s">
        <v>411</v>
      </c>
      <c r="E196" s="50"/>
      <c r="F196" s="212">
        <f t="shared" si="5"/>
        <v>0</v>
      </c>
    </row>
    <row r="197" spans="1:6">
      <c r="A197" s="37"/>
      <c r="B197" s="42"/>
      <c r="C197" s="40"/>
      <c r="D197" s="43"/>
      <c r="E197" s="50"/>
      <c r="F197" s="212"/>
    </row>
    <row r="198" spans="1:6" ht="27" customHeight="1">
      <c r="A198" s="37" t="s">
        <v>458</v>
      </c>
      <c r="B198" s="218" t="s">
        <v>184</v>
      </c>
      <c r="C198" s="40"/>
      <c r="D198" s="43"/>
      <c r="E198" s="50"/>
      <c r="F198" s="212"/>
    </row>
    <row r="199" spans="1:6" ht="62.1" customHeight="1">
      <c r="A199" s="37"/>
      <c r="B199" s="32" t="s">
        <v>459</v>
      </c>
      <c r="C199" s="40">
        <f>ROUND(2.6*(18.7*2+18.82),0)</f>
        <v>146</v>
      </c>
      <c r="D199" s="43" t="s">
        <v>153</v>
      </c>
      <c r="E199" s="50"/>
      <c r="F199" s="212">
        <f>C199*E199</f>
        <v>0</v>
      </c>
    </row>
    <row r="200" spans="1:6">
      <c r="A200" s="37"/>
      <c r="B200" s="32"/>
      <c r="C200" s="40"/>
      <c r="D200" s="43"/>
      <c r="E200" s="50"/>
      <c r="F200" s="212"/>
    </row>
    <row r="201" spans="1:6" ht="24.95" customHeight="1">
      <c r="A201" s="37" t="s">
        <v>460</v>
      </c>
      <c r="B201" s="218" t="s">
        <v>461</v>
      </c>
      <c r="C201" s="40"/>
      <c r="D201" s="43"/>
      <c r="E201" s="50"/>
      <c r="F201" s="212"/>
    </row>
    <row r="202" spans="1:6" ht="57.95" customHeight="1">
      <c r="A202" s="37"/>
      <c r="B202" s="32" t="s">
        <v>459</v>
      </c>
      <c r="C202" s="40">
        <f>ROUND(2.6*(4.8*2),0)</f>
        <v>25</v>
      </c>
      <c r="D202" s="43" t="s">
        <v>153</v>
      </c>
      <c r="E202" s="50"/>
      <c r="F202" s="212">
        <f>C202*E202</f>
        <v>0</v>
      </c>
    </row>
    <row r="203" spans="1:6">
      <c r="A203" s="37"/>
      <c r="B203" s="42"/>
      <c r="C203" s="40"/>
      <c r="D203" s="43"/>
      <c r="E203" s="50"/>
      <c r="F203" s="212"/>
    </row>
    <row r="204" spans="1:6">
      <c r="A204" s="52" t="s">
        <v>462</v>
      </c>
      <c r="B204" s="49" t="s">
        <v>463</v>
      </c>
      <c r="C204" s="40"/>
      <c r="D204" s="40"/>
      <c r="E204" s="50"/>
      <c r="F204" s="212"/>
    </row>
    <row r="205" spans="1:6">
      <c r="A205" s="37"/>
      <c r="B205" s="49"/>
      <c r="C205" s="40"/>
      <c r="D205" s="40"/>
      <c r="E205" s="50"/>
      <c r="F205" s="212"/>
    </row>
    <row r="206" spans="1:6" ht="18.95" customHeight="1">
      <c r="A206" s="37" t="s">
        <v>464</v>
      </c>
      <c r="B206" s="42" t="s">
        <v>194</v>
      </c>
      <c r="C206" s="40"/>
      <c r="D206" s="43"/>
      <c r="E206" s="50"/>
      <c r="F206" s="212"/>
    </row>
    <row r="207" spans="1:6" ht="66.95" customHeight="1">
      <c r="A207" s="37" t="s">
        <v>465</v>
      </c>
      <c r="B207" s="32" t="s">
        <v>466</v>
      </c>
      <c r="C207" s="40">
        <f>ROUND((2.6*(17.88+19.4+17.72)),0)</f>
        <v>143</v>
      </c>
      <c r="D207" s="43" t="s">
        <v>153</v>
      </c>
      <c r="E207" s="50"/>
      <c r="F207" s="212">
        <f t="shared" ref="F207:F220" si="6">C207*E207</f>
        <v>0</v>
      </c>
    </row>
    <row r="208" spans="1:6" ht="51" customHeight="1">
      <c r="A208" s="37" t="s">
        <v>467</v>
      </c>
      <c r="B208" s="32" t="s">
        <v>438</v>
      </c>
      <c r="C208" s="40">
        <f>ROUND((1*(17.88+19.4+17.72)),0)</f>
        <v>55</v>
      </c>
      <c r="D208" s="43" t="s">
        <v>411</v>
      </c>
      <c r="E208" s="50"/>
      <c r="F208" s="212">
        <f t="shared" si="6"/>
        <v>0</v>
      </c>
    </row>
    <row r="209" spans="1:6">
      <c r="A209" s="37"/>
      <c r="B209" s="49"/>
      <c r="C209" s="40"/>
      <c r="D209" s="40"/>
      <c r="E209" s="50"/>
      <c r="F209" s="212"/>
    </row>
    <row r="210" spans="1:6" ht="27.95" customHeight="1">
      <c r="A210" s="37" t="s">
        <v>468</v>
      </c>
      <c r="B210" s="218" t="s">
        <v>196</v>
      </c>
      <c r="C210" s="40"/>
      <c r="D210" s="43"/>
      <c r="E210" s="50"/>
      <c r="F210" s="212"/>
    </row>
    <row r="211" spans="1:6" ht="87.95" customHeight="1">
      <c r="A211" s="44" t="s">
        <v>469</v>
      </c>
      <c r="B211" s="343" t="s">
        <v>1371</v>
      </c>
      <c r="C211" s="46">
        <f>ROUND((2.6*(16+3.14*1.6)),0)</f>
        <v>55</v>
      </c>
      <c r="D211" s="196" t="s">
        <v>153</v>
      </c>
      <c r="E211" s="51"/>
      <c r="F211" s="214">
        <f t="shared" si="6"/>
        <v>0</v>
      </c>
    </row>
    <row r="212" spans="1:6" ht="51" customHeight="1">
      <c r="A212" s="219" t="s">
        <v>470</v>
      </c>
      <c r="B212" s="344" t="s">
        <v>1372</v>
      </c>
      <c r="C212" s="220">
        <f>ROUND((1*(16+3.14*1.6)),0)</f>
        <v>21</v>
      </c>
      <c r="D212" s="221" t="s">
        <v>411</v>
      </c>
      <c r="E212" s="222"/>
      <c r="F212" s="223">
        <f t="shared" si="6"/>
        <v>0</v>
      </c>
    </row>
    <row r="213" spans="1:6" ht="72" customHeight="1">
      <c r="A213" s="37" t="s">
        <v>471</v>
      </c>
      <c r="B213" s="339" t="s">
        <v>1373</v>
      </c>
      <c r="C213" s="40">
        <f>ROUND((2.6*(11.05)),0)</f>
        <v>29</v>
      </c>
      <c r="D213" s="43" t="s">
        <v>153</v>
      </c>
      <c r="E213" s="50"/>
      <c r="F213" s="212">
        <f t="shared" si="6"/>
        <v>0</v>
      </c>
    </row>
    <row r="214" spans="1:6" ht="51.95" customHeight="1">
      <c r="A214" s="37" t="s">
        <v>472</v>
      </c>
      <c r="B214" s="339" t="s">
        <v>1374</v>
      </c>
      <c r="C214" s="40">
        <f>ROUND((1*(11.05)),0)</f>
        <v>11</v>
      </c>
      <c r="D214" s="43" t="s">
        <v>411</v>
      </c>
      <c r="E214" s="50"/>
      <c r="F214" s="212">
        <f t="shared" si="6"/>
        <v>0</v>
      </c>
    </row>
    <row r="215" spans="1:6" ht="69.95" customHeight="1">
      <c r="A215" s="37" t="s">
        <v>473</v>
      </c>
      <c r="B215" s="339" t="s">
        <v>1375</v>
      </c>
      <c r="C215" s="40">
        <f>ROUND((2.6*(13.55+3.14*1.6)),0)</f>
        <v>48</v>
      </c>
      <c r="D215" s="43" t="s">
        <v>153</v>
      </c>
      <c r="E215" s="50"/>
      <c r="F215" s="212">
        <f t="shared" si="6"/>
        <v>0</v>
      </c>
    </row>
    <row r="216" spans="1:6" ht="48" customHeight="1">
      <c r="A216" s="37" t="s">
        <v>474</v>
      </c>
      <c r="B216" s="339" t="s">
        <v>1376</v>
      </c>
      <c r="C216" s="40">
        <f>ROUND((1*(13.55+3.14*1.6)),0)</f>
        <v>19</v>
      </c>
      <c r="D216" s="43" t="s">
        <v>411</v>
      </c>
      <c r="E216" s="50"/>
      <c r="F216" s="212">
        <f t="shared" si="6"/>
        <v>0</v>
      </c>
    </row>
    <row r="217" spans="1:6" ht="72.95" customHeight="1">
      <c r="A217" s="37" t="s">
        <v>475</v>
      </c>
      <c r="B217" s="339" t="s">
        <v>1377</v>
      </c>
      <c r="C217" s="40">
        <f>ROUND(2.6*7.74,0)</f>
        <v>20</v>
      </c>
      <c r="D217" s="43" t="s">
        <v>153</v>
      </c>
      <c r="E217" s="50"/>
      <c r="F217" s="212">
        <f t="shared" si="6"/>
        <v>0</v>
      </c>
    </row>
    <row r="218" spans="1:6" ht="48.95" customHeight="1">
      <c r="A218" s="37" t="s">
        <v>476</v>
      </c>
      <c r="B218" s="339" t="s">
        <v>1378</v>
      </c>
      <c r="C218" s="40">
        <f>ROUND(1*7.74,0)</f>
        <v>8</v>
      </c>
      <c r="D218" s="43" t="s">
        <v>411</v>
      </c>
      <c r="E218" s="50"/>
      <c r="F218" s="212">
        <f t="shared" si="6"/>
        <v>0</v>
      </c>
    </row>
    <row r="219" spans="1:6" ht="77.099999999999994" customHeight="1">
      <c r="A219" s="37" t="s">
        <v>477</v>
      </c>
      <c r="B219" s="339" t="s">
        <v>1379</v>
      </c>
      <c r="C219" s="40">
        <f>ROUND(3*(5.97+5.34),0)</f>
        <v>34</v>
      </c>
      <c r="D219" s="43" t="s">
        <v>153</v>
      </c>
      <c r="E219" s="50"/>
      <c r="F219" s="212">
        <f t="shared" si="6"/>
        <v>0</v>
      </c>
    </row>
    <row r="220" spans="1:6" ht="53.1" customHeight="1">
      <c r="A220" s="37" t="s">
        <v>478</v>
      </c>
      <c r="B220" s="339" t="s">
        <v>1380</v>
      </c>
      <c r="C220" s="40">
        <f>ROUND(1*(5.97+5.34),0)</f>
        <v>11</v>
      </c>
      <c r="D220" s="43" t="s">
        <v>411</v>
      </c>
      <c r="E220" s="50"/>
      <c r="F220" s="212">
        <f t="shared" si="6"/>
        <v>0</v>
      </c>
    </row>
    <row r="221" spans="1:6">
      <c r="A221" s="37"/>
      <c r="B221" s="42"/>
      <c r="C221" s="40"/>
      <c r="D221" s="43"/>
      <c r="E221" s="50"/>
      <c r="F221" s="212"/>
    </row>
    <row r="222" spans="1:6" ht="18" customHeight="1">
      <c r="A222" s="52" t="s">
        <v>479</v>
      </c>
      <c r="B222" s="49" t="s">
        <v>480</v>
      </c>
      <c r="C222" s="40"/>
      <c r="D222" s="40"/>
      <c r="E222" s="50"/>
      <c r="F222" s="212"/>
    </row>
    <row r="223" spans="1:6">
      <c r="A223" s="37"/>
      <c r="B223" s="49"/>
      <c r="C223" s="40"/>
      <c r="D223" s="40"/>
      <c r="E223" s="50"/>
      <c r="F223" s="212"/>
    </row>
    <row r="224" spans="1:6" ht="27.95" customHeight="1">
      <c r="A224" s="37" t="s">
        <v>481</v>
      </c>
      <c r="B224" s="42" t="s">
        <v>201</v>
      </c>
      <c r="C224" s="40"/>
      <c r="D224" s="43"/>
      <c r="E224" s="50"/>
      <c r="F224" s="212"/>
    </row>
    <row r="225" spans="1:6" ht="51.95" customHeight="1">
      <c r="A225" s="37"/>
      <c r="B225" s="32" t="s">
        <v>459</v>
      </c>
      <c r="C225" s="40">
        <f>ROUND((2.6*(9.8+9.25+9.05)),0)</f>
        <v>73</v>
      </c>
      <c r="D225" s="43" t="s">
        <v>153</v>
      </c>
      <c r="E225" s="50"/>
      <c r="F225" s="212">
        <f>C225*E225</f>
        <v>0</v>
      </c>
    </row>
    <row r="226" spans="1:6">
      <c r="A226" s="44"/>
      <c r="B226" s="224"/>
      <c r="C226" s="46"/>
      <c r="D226" s="46"/>
      <c r="E226" s="51"/>
      <c r="F226" s="214"/>
    </row>
    <row r="227" spans="1:6" ht="20.100000000000001" customHeight="1">
      <c r="A227" s="37" t="s">
        <v>482</v>
      </c>
      <c r="B227" s="42" t="s">
        <v>203</v>
      </c>
      <c r="C227" s="40"/>
      <c r="D227" s="43"/>
      <c r="E227" s="50"/>
      <c r="F227" s="212"/>
    </row>
    <row r="228" spans="1:6" ht="59.1" customHeight="1">
      <c r="A228" s="37" t="s">
        <v>483</v>
      </c>
      <c r="B228" s="339" t="s">
        <v>1381</v>
      </c>
      <c r="C228" s="40">
        <f>ROUND(2.6*12.3,0)</f>
        <v>32</v>
      </c>
      <c r="D228" s="43" t="s">
        <v>153</v>
      </c>
      <c r="E228" s="50"/>
      <c r="F228" s="212">
        <f t="shared" ref="F228:F237" si="7">C228*E228</f>
        <v>0</v>
      </c>
    </row>
    <row r="229" spans="1:6" ht="47.1" customHeight="1">
      <c r="A229" s="37" t="s">
        <v>484</v>
      </c>
      <c r="B229" s="339" t="s">
        <v>1382</v>
      </c>
      <c r="C229" s="40">
        <f>ROUND(1*12.3,0)</f>
        <v>12</v>
      </c>
      <c r="D229" s="43" t="s">
        <v>411</v>
      </c>
      <c r="E229" s="50"/>
      <c r="F229" s="212">
        <f t="shared" si="7"/>
        <v>0</v>
      </c>
    </row>
    <row r="230" spans="1:6" ht="59.1" customHeight="1">
      <c r="A230" s="37" t="s">
        <v>485</v>
      </c>
      <c r="B230" s="339" t="s">
        <v>1383</v>
      </c>
      <c r="C230" s="40">
        <f>ROUND(2.6*18.95,0)</f>
        <v>49</v>
      </c>
      <c r="D230" s="43" t="s">
        <v>153</v>
      </c>
      <c r="E230" s="50"/>
      <c r="F230" s="212">
        <f t="shared" si="7"/>
        <v>0</v>
      </c>
    </row>
    <row r="231" spans="1:6" ht="48" customHeight="1">
      <c r="A231" s="37" t="s">
        <v>486</v>
      </c>
      <c r="B231" s="339" t="s">
        <v>1384</v>
      </c>
      <c r="C231" s="40">
        <f>ROUND(1*18.95,0)</f>
        <v>19</v>
      </c>
      <c r="D231" s="43" t="s">
        <v>411</v>
      </c>
      <c r="E231" s="50"/>
      <c r="F231" s="212">
        <f t="shared" si="7"/>
        <v>0</v>
      </c>
    </row>
    <row r="232" spans="1:6" ht="60.95" customHeight="1">
      <c r="A232" s="37" t="s">
        <v>487</v>
      </c>
      <c r="B232" s="339" t="s">
        <v>1385</v>
      </c>
      <c r="C232" s="40">
        <f>ROUND(2.6*(14.9+2.6),0)</f>
        <v>46</v>
      </c>
      <c r="D232" s="43" t="s">
        <v>153</v>
      </c>
      <c r="E232" s="50"/>
      <c r="F232" s="212">
        <f t="shared" si="7"/>
        <v>0</v>
      </c>
    </row>
    <row r="233" spans="1:6" ht="45.95" customHeight="1">
      <c r="A233" s="37" t="s">
        <v>488</v>
      </c>
      <c r="B233" s="339" t="s">
        <v>1386</v>
      </c>
      <c r="C233" s="40">
        <f>ROUND(1*(14.9+2.6),0)</f>
        <v>18</v>
      </c>
      <c r="D233" s="43" t="s">
        <v>411</v>
      </c>
      <c r="E233" s="50"/>
      <c r="F233" s="212">
        <f t="shared" si="7"/>
        <v>0</v>
      </c>
    </row>
    <row r="234" spans="1:6" ht="57.95" customHeight="1">
      <c r="A234" s="37" t="s">
        <v>489</v>
      </c>
      <c r="B234" s="339" t="s">
        <v>1387</v>
      </c>
      <c r="C234" s="40">
        <f>ROUND(2.6*18.7,0)</f>
        <v>49</v>
      </c>
      <c r="D234" s="43" t="s">
        <v>153</v>
      </c>
      <c r="E234" s="50"/>
      <c r="F234" s="212">
        <f t="shared" si="7"/>
        <v>0</v>
      </c>
    </row>
    <row r="235" spans="1:6" ht="45.95" customHeight="1">
      <c r="A235" s="37" t="s">
        <v>490</v>
      </c>
      <c r="B235" s="339" t="s">
        <v>1388</v>
      </c>
      <c r="C235" s="40">
        <f>ROUND(1*18.7,0)</f>
        <v>19</v>
      </c>
      <c r="D235" s="43" t="s">
        <v>411</v>
      </c>
      <c r="E235" s="50"/>
      <c r="F235" s="212">
        <f t="shared" si="7"/>
        <v>0</v>
      </c>
    </row>
    <row r="236" spans="1:6" ht="60.95" customHeight="1">
      <c r="A236" s="37" t="s">
        <v>491</v>
      </c>
      <c r="B236" s="339" t="s">
        <v>1389</v>
      </c>
      <c r="C236" s="40">
        <f>ROUND(2.6*(4.4*3+4+4.8),0)</f>
        <v>57</v>
      </c>
      <c r="D236" s="43" t="s">
        <v>153</v>
      </c>
      <c r="E236" s="50"/>
      <c r="F236" s="212">
        <f t="shared" si="7"/>
        <v>0</v>
      </c>
    </row>
    <row r="237" spans="1:6" ht="50.1" customHeight="1">
      <c r="A237" s="37" t="s">
        <v>492</v>
      </c>
      <c r="B237" s="339" t="s">
        <v>1390</v>
      </c>
      <c r="C237" s="40">
        <f>ROUND(1*(4.4*3+4+4.8),0)</f>
        <v>22</v>
      </c>
      <c r="D237" s="43" t="s">
        <v>411</v>
      </c>
      <c r="E237" s="50"/>
      <c r="F237" s="212">
        <f t="shared" si="7"/>
        <v>0</v>
      </c>
    </row>
    <row r="238" spans="1:6">
      <c r="A238" s="37"/>
      <c r="B238" s="42"/>
      <c r="C238" s="40"/>
      <c r="D238" s="43"/>
      <c r="E238" s="50"/>
      <c r="F238" s="212"/>
    </row>
    <row r="239" spans="1:6">
      <c r="A239" s="52" t="s">
        <v>493</v>
      </c>
      <c r="B239" s="49" t="s">
        <v>494</v>
      </c>
      <c r="C239" s="40"/>
      <c r="D239" s="40"/>
      <c r="E239" s="50"/>
      <c r="F239" s="212"/>
    </row>
    <row r="240" spans="1:6">
      <c r="A240" s="37"/>
      <c r="B240" s="49"/>
      <c r="C240" s="40"/>
      <c r="D240" s="40"/>
      <c r="E240" s="50"/>
      <c r="F240" s="212"/>
    </row>
    <row r="241" spans="1:6" ht="63" customHeight="1">
      <c r="A241" s="37" t="s">
        <v>495</v>
      </c>
      <c r="B241" s="32" t="s">
        <v>447</v>
      </c>
      <c r="C241" s="40"/>
      <c r="D241" s="43"/>
      <c r="E241" s="50"/>
      <c r="F241" s="212"/>
    </row>
    <row r="242" spans="1:6">
      <c r="A242" s="37" t="s">
        <v>496</v>
      </c>
      <c r="B242" s="32" t="s">
        <v>209</v>
      </c>
      <c r="C242" s="40">
        <f>ROUND(2.6*(13.48),0)</f>
        <v>35</v>
      </c>
      <c r="D242" s="43" t="s">
        <v>153</v>
      </c>
      <c r="E242" s="50"/>
      <c r="F242" s="212">
        <f t="shared" ref="F242:F252" si="8">C242*E242</f>
        <v>0</v>
      </c>
    </row>
    <row r="243" spans="1:6">
      <c r="A243" s="37" t="s">
        <v>497</v>
      </c>
      <c r="B243" s="32" t="s">
        <v>211</v>
      </c>
      <c r="C243" s="40">
        <f>ROUND(2.6*(13.5),0)</f>
        <v>35</v>
      </c>
      <c r="D243" s="43" t="s">
        <v>153</v>
      </c>
      <c r="E243" s="50"/>
      <c r="F243" s="212">
        <f t="shared" si="8"/>
        <v>0</v>
      </c>
    </row>
    <row r="244" spans="1:6">
      <c r="A244" s="37" t="s">
        <v>498</v>
      </c>
      <c r="B244" s="32" t="s">
        <v>213</v>
      </c>
      <c r="C244" s="40">
        <f>ROUND(2.6*(16.69),0)</f>
        <v>43</v>
      </c>
      <c r="D244" s="43" t="s">
        <v>153</v>
      </c>
      <c r="E244" s="50"/>
      <c r="F244" s="212">
        <f t="shared" si="8"/>
        <v>0</v>
      </c>
    </row>
    <row r="245" spans="1:6">
      <c r="A245" s="37" t="s">
        <v>499</v>
      </c>
      <c r="B245" s="32" t="s">
        <v>215</v>
      </c>
      <c r="C245" s="40">
        <f>ROUND(2.6*(16.34-3.3),0)</f>
        <v>34</v>
      </c>
      <c r="D245" s="43" t="s">
        <v>153</v>
      </c>
      <c r="E245" s="50"/>
      <c r="F245" s="212">
        <f t="shared" si="8"/>
        <v>0</v>
      </c>
    </row>
    <row r="246" spans="1:6">
      <c r="A246" s="37" t="s">
        <v>500</v>
      </c>
      <c r="B246" s="32" t="s">
        <v>217</v>
      </c>
      <c r="C246" s="40">
        <f>ROUND(2.6*(31.5-3.3),0)</f>
        <v>73</v>
      </c>
      <c r="D246" s="43" t="s">
        <v>153</v>
      </c>
      <c r="E246" s="50"/>
      <c r="F246" s="212">
        <f t="shared" si="8"/>
        <v>0</v>
      </c>
    </row>
    <row r="247" spans="1:6">
      <c r="A247" s="44" t="s">
        <v>501</v>
      </c>
      <c r="B247" s="45" t="s">
        <v>219</v>
      </c>
      <c r="C247" s="46">
        <f>ROUND(2.6*(15.9),0)</f>
        <v>41</v>
      </c>
      <c r="D247" s="196" t="s">
        <v>153</v>
      </c>
      <c r="E247" s="51"/>
      <c r="F247" s="214">
        <f t="shared" si="8"/>
        <v>0</v>
      </c>
    </row>
    <row r="248" spans="1:6">
      <c r="A248" s="37" t="s">
        <v>502</v>
      </c>
      <c r="B248" s="32" t="s">
        <v>221</v>
      </c>
      <c r="C248" s="40">
        <f>ROUND(2.6*(15.9),0)</f>
        <v>41</v>
      </c>
      <c r="D248" s="43" t="s">
        <v>153</v>
      </c>
      <c r="E248" s="50"/>
      <c r="F248" s="212">
        <f t="shared" si="8"/>
        <v>0</v>
      </c>
    </row>
    <row r="249" spans="1:6">
      <c r="A249" s="37" t="s">
        <v>503</v>
      </c>
      <c r="B249" s="32" t="s">
        <v>217</v>
      </c>
      <c r="C249" s="40">
        <f>ROUND(2.6*(23.8-2),0)</f>
        <v>57</v>
      </c>
      <c r="D249" s="43" t="s">
        <v>153</v>
      </c>
      <c r="E249" s="50"/>
      <c r="F249" s="212">
        <f t="shared" si="8"/>
        <v>0</v>
      </c>
    </row>
    <row r="250" spans="1:6">
      <c r="A250" s="37" t="s">
        <v>504</v>
      </c>
      <c r="B250" s="32" t="s">
        <v>215</v>
      </c>
      <c r="C250" s="40">
        <f>ROUND(2.6*(15.38-2),0)</f>
        <v>35</v>
      </c>
      <c r="D250" s="43" t="s">
        <v>153</v>
      </c>
      <c r="E250" s="50"/>
      <c r="F250" s="212">
        <f t="shared" si="8"/>
        <v>0</v>
      </c>
    </row>
    <row r="251" spans="1:6">
      <c r="A251" s="37" t="s">
        <v>505</v>
      </c>
      <c r="B251" s="32" t="s">
        <v>225</v>
      </c>
      <c r="C251" s="40">
        <f>ROUND(2.6*(13.95+14*2-(1.1+1+0.8)),0)</f>
        <v>102</v>
      </c>
      <c r="D251" s="43" t="s">
        <v>153</v>
      </c>
      <c r="E251" s="50"/>
      <c r="F251" s="212">
        <f t="shared" si="8"/>
        <v>0</v>
      </c>
    </row>
    <row r="252" spans="1:6">
      <c r="A252" s="37" t="s">
        <v>506</v>
      </c>
      <c r="B252" s="32" t="s">
        <v>227</v>
      </c>
      <c r="C252" s="40">
        <f>ROUND(2.6*(19),0)</f>
        <v>49</v>
      </c>
      <c r="D252" s="43" t="s">
        <v>153</v>
      </c>
      <c r="E252" s="50"/>
      <c r="F252" s="212">
        <f t="shared" si="8"/>
        <v>0</v>
      </c>
    </row>
    <row r="253" spans="1:6">
      <c r="A253" s="37"/>
      <c r="B253" s="32"/>
      <c r="C253" s="40"/>
      <c r="D253" s="43"/>
      <c r="E253" s="50"/>
      <c r="F253" s="212"/>
    </row>
    <row r="254" spans="1:6" ht="47.1" customHeight="1">
      <c r="A254" s="37" t="s">
        <v>507</v>
      </c>
      <c r="B254" s="32" t="s">
        <v>438</v>
      </c>
      <c r="C254" s="40"/>
      <c r="D254" s="43"/>
      <c r="E254" s="50"/>
      <c r="F254" s="212"/>
    </row>
    <row r="255" spans="1:6">
      <c r="A255" s="37" t="s">
        <v>508</v>
      </c>
      <c r="B255" s="32" t="s">
        <v>209</v>
      </c>
      <c r="C255" s="40">
        <f>ROUND(1*(13.48),0)</f>
        <v>13</v>
      </c>
      <c r="D255" s="43" t="s">
        <v>411</v>
      </c>
      <c r="E255" s="50"/>
      <c r="F255" s="212">
        <f t="shared" ref="F255:F265" si="9">C255*E255</f>
        <v>0</v>
      </c>
    </row>
    <row r="256" spans="1:6">
      <c r="A256" s="37" t="s">
        <v>509</v>
      </c>
      <c r="B256" s="32" t="s">
        <v>211</v>
      </c>
      <c r="C256" s="40">
        <f>ROUND(1*(13.5),0)</f>
        <v>14</v>
      </c>
      <c r="D256" s="43" t="s">
        <v>411</v>
      </c>
      <c r="E256" s="50"/>
      <c r="F256" s="212">
        <f t="shared" si="9"/>
        <v>0</v>
      </c>
    </row>
    <row r="257" spans="1:6">
      <c r="A257" s="37" t="s">
        <v>510</v>
      </c>
      <c r="B257" s="32" t="s">
        <v>213</v>
      </c>
      <c r="C257" s="40">
        <f>ROUND(1*(16.69),0)</f>
        <v>17</v>
      </c>
      <c r="D257" s="43" t="s">
        <v>411</v>
      </c>
      <c r="E257" s="50"/>
      <c r="F257" s="212">
        <f t="shared" si="9"/>
        <v>0</v>
      </c>
    </row>
    <row r="258" spans="1:6">
      <c r="A258" s="37" t="s">
        <v>511</v>
      </c>
      <c r="B258" s="32" t="s">
        <v>215</v>
      </c>
      <c r="C258" s="40">
        <f>ROUND(1*(16.34-3.3),0)</f>
        <v>13</v>
      </c>
      <c r="D258" s="43" t="s">
        <v>411</v>
      </c>
      <c r="E258" s="50"/>
      <c r="F258" s="212">
        <f t="shared" si="9"/>
        <v>0</v>
      </c>
    </row>
    <row r="259" spans="1:6">
      <c r="A259" s="37" t="s">
        <v>512</v>
      </c>
      <c r="B259" s="32" t="s">
        <v>217</v>
      </c>
      <c r="C259" s="40">
        <f>ROUND(1*(31.5-3.3),0)</f>
        <v>28</v>
      </c>
      <c r="D259" s="43" t="s">
        <v>411</v>
      </c>
      <c r="E259" s="50"/>
      <c r="F259" s="212">
        <f t="shared" si="9"/>
        <v>0</v>
      </c>
    </row>
    <row r="260" spans="1:6">
      <c r="A260" s="37" t="s">
        <v>513</v>
      </c>
      <c r="B260" s="32" t="s">
        <v>219</v>
      </c>
      <c r="C260" s="40">
        <f>ROUND(1*(15.9),0)</f>
        <v>16</v>
      </c>
      <c r="D260" s="43" t="s">
        <v>411</v>
      </c>
      <c r="E260" s="50"/>
      <c r="F260" s="212">
        <f t="shared" si="9"/>
        <v>0</v>
      </c>
    </row>
    <row r="261" spans="1:6">
      <c r="A261" s="37" t="s">
        <v>514</v>
      </c>
      <c r="B261" s="32" t="s">
        <v>221</v>
      </c>
      <c r="C261" s="40">
        <f>ROUND(1*(15.9),0)</f>
        <v>16</v>
      </c>
      <c r="D261" s="43" t="s">
        <v>411</v>
      </c>
      <c r="E261" s="50"/>
      <c r="F261" s="212">
        <f t="shared" si="9"/>
        <v>0</v>
      </c>
    </row>
    <row r="262" spans="1:6">
      <c r="A262" s="37" t="s">
        <v>515</v>
      </c>
      <c r="B262" s="32" t="s">
        <v>217</v>
      </c>
      <c r="C262" s="40">
        <f>ROUND(1*(23.8-2),0)</f>
        <v>22</v>
      </c>
      <c r="D262" s="43" t="s">
        <v>411</v>
      </c>
      <c r="E262" s="50"/>
      <c r="F262" s="212">
        <f t="shared" si="9"/>
        <v>0</v>
      </c>
    </row>
    <row r="263" spans="1:6">
      <c r="A263" s="37" t="s">
        <v>516</v>
      </c>
      <c r="B263" s="32" t="s">
        <v>215</v>
      </c>
      <c r="C263" s="40">
        <f>ROUND(1*(15.38-2),0)</f>
        <v>13</v>
      </c>
      <c r="D263" s="43" t="s">
        <v>411</v>
      </c>
      <c r="E263" s="50"/>
      <c r="F263" s="212">
        <f t="shared" si="9"/>
        <v>0</v>
      </c>
    </row>
    <row r="264" spans="1:6">
      <c r="A264" s="37" t="s">
        <v>517</v>
      </c>
      <c r="B264" s="32" t="s">
        <v>225</v>
      </c>
      <c r="C264" s="40">
        <f>ROUND(1*(13.95+14*2-(1.1+1+0.8)),0)</f>
        <v>39</v>
      </c>
      <c r="D264" s="43" t="s">
        <v>411</v>
      </c>
      <c r="E264" s="50"/>
      <c r="F264" s="212">
        <f t="shared" si="9"/>
        <v>0</v>
      </c>
    </row>
    <row r="265" spans="1:6">
      <c r="A265" s="37" t="s">
        <v>518</v>
      </c>
      <c r="B265" s="32" t="s">
        <v>227</v>
      </c>
      <c r="C265" s="40">
        <f>ROUND(1*(19),0)</f>
        <v>19</v>
      </c>
      <c r="D265" s="43" t="s">
        <v>411</v>
      </c>
      <c r="E265" s="50"/>
      <c r="F265" s="212">
        <f t="shared" si="9"/>
        <v>0</v>
      </c>
    </row>
    <row r="266" spans="1:6">
      <c r="A266" s="37"/>
      <c r="B266" s="32"/>
      <c r="C266" s="40"/>
      <c r="D266" s="43"/>
      <c r="E266" s="50"/>
      <c r="F266" s="212"/>
    </row>
    <row r="267" spans="1:6" ht="42" customHeight="1">
      <c r="A267" s="37" t="s">
        <v>519</v>
      </c>
      <c r="B267" s="32" t="s">
        <v>459</v>
      </c>
      <c r="C267" s="40"/>
      <c r="D267" s="43"/>
      <c r="E267" s="50"/>
      <c r="F267" s="212"/>
    </row>
    <row r="268" spans="1:6" ht="17.100000000000001" customHeight="1">
      <c r="A268" s="37"/>
      <c r="B268" s="32" t="s">
        <v>229</v>
      </c>
      <c r="C268" s="40">
        <f>ROUND(2.8*(10.59-2.4),0)</f>
        <v>23</v>
      </c>
      <c r="D268" s="43" t="s">
        <v>153</v>
      </c>
      <c r="E268" s="50"/>
      <c r="F268" s="212">
        <f t="shared" ref="F268:F278" si="10">C268*E268</f>
        <v>0</v>
      </c>
    </row>
    <row r="269" spans="1:6">
      <c r="A269" s="37"/>
      <c r="B269" s="49"/>
      <c r="C269" s="40"/>
      <c r="D269" s="40"/>
      <c r="E269" s="50"/>
      <c r="F269" s="212"/>
    </row>
    <row r="270" spans="1:6" ht="20.100000000000001" customHeight="1">
      <c r="A270" s="37" t="s">
        <v>520</v>
      </c>
      <c r="B270" s="42" t="s">
        <v>521</v>
      </c>
      <c r="C270" s="40"/>
      <c r="D270" s="43"/>
      <c r="E270" s="50"/>
      <c r="F270" s="212"/>
    </row>
    <row r="271" spans="1:6" ht="81">
      <c r="A271" s="37" t="s">
        <v>522</v>
      </c>
      <c r="B271" s="339" t="s">
        <v>1391</v>
      </c>
      <c r="C271" s="40">
        <f>ROUND(2.6*(7.8),0)</f>
        <v>20</v>
      </c>
      <c r="D271" s="43" t="s">
        <v>153</v>
      </c>
      <c r="E271" s="50"/>
      <c r="F271" s="212">
        <f t="shared" si="10"/>
        <v>0</v>
      </c>
    </row>
    <row r="272" spans="1:6" ht="45" customHeight="1">
      <c r="A272" s="37" t="s">
        <v>523</v>
      </c>
      <c r="B272" s="339" t="s">
        <v>1392</v>
      </c>
      <c r="C272" s="40">
        <f>ROUND(1*(7.8),0)</f>
        <v>8</v>
      </c>
      <c r="D272" s="43" t="s">
        <v>411</v>
      </c>
      <c r="E272" s="50"/>
      <c r="F272" s="212">
        <f t="shared" si="10"/>
        <v>0</v>
      </c>
    </row>
    <row r="273" spans="1:6" ht="75.95" customHeight="1">
      <c r="A273" s="37" t="s">
        <v>524</v>
      </c>
      <c r="B273" s="339" t="s">
        <v>1393</v>
      </c>
      <c r="C273" s="40">
        <f>ROUND(2.6*(15.1+1.3*2),0)</f>
        <v>46</v>
      </c>
      <c r="D273" s="43" t="s">
        <v>153</v>
      </c>
      <c r="E273" s="50"/>
      <c r="F273" s="212">
        <f t="shared" si="10"/>
        <v>0</v>
      </c>
    </row>
    <row r="274" spans="1:6" ht="51.95" customHeight="1">
      <c r="A274" s="37" t="s">
        <v>525</v>
      </c>
      <c r="B274" s="339" t="s">
        <v>1394</v>
      </c>
      <c r="C274" s="40">
        <f>ROUND(1*(15.1+1.3*2),0)</f>
        <v>18</v>
      </c>
      <c r="D274" s="43" t="s">
        <v>411</v>
      </c>
      <c r="E274" s="50"/>
      <c r="F274" s="212">
        <f t="shared" si="10"/>
        <v>0</v>
      </c>
    </row>
    <row r="275" spans="1:6" ht="72" customHeight="1">
      <c r="A275" s="44" t="s">
        <v>526</v>
      </c>
      <c r="B275" s="343" t="s">
        <v>1395</v>
      </c>
      <c r="C275" s="46">
        <f>ROUND(2.6*(7.8),0)</f>
        <v>20</v>
      </c>
      <c r="D275" s="196" t="s">
        <v>153</v>
      </c>
      <c r="E275" s="51"/>
      <c r="F275" s="214">
        <f t="shared" si="10"/>
        <v>0</v>
      </c>
    </row>
    <row r="276" spans="1:6" ht="56.1" customHeight="1">
      <c r="A276" s="37" t="s">
        <v>527</v>
      </c>
      <c r="B276" s="344" t="s">
        <v>1396</v>
      </c>
      <c r="C276" s="220">
        <f>ROUND(1*(7.8),0)</f>
        <v>8</v>
      </c>
      <c r="D276" s="221" t="s">
        <v>411</v>
      </c>
      <c r="E276" s="222"/>
      <c r="F276" s="223">
        <f t="shared" si="10"/>
        <v>0</v>
      </c>
    </row>
    <row r="277" spans="1:6" ht="74.099999999999994" customHeight="1">
      <c r="A277" s="37" t="s">
        <v>528</v>
      </c>
      <c r="B277" s="339" t="s">
        <v>1397</v>
      </c>
      <c r="C277" s="40">
        <f>ROUND(2.6*(15.2-5.85-0.9),0)</f>
        <v>22</v>
      </c>
      <c r="D277" s="43" t="s">
        <v>153</v>
      </c>
      <c r="E277" s="50"/>
      <c r="F277" s="212">
        <f t="shared" si="10"/>
        <v>0</v>
      </c>
    </row>
    <row r="278" spans="1:6" ht="48.95" customHeight="1">
      <c r="A278" s="37" t="s">
        <v>529</v>
      </c>
      <c r="B278" s="339" t="s">
        <v>1398</v>
      </c>
      <c r="C278" s="40">
        <f>ROUND(1*(15.2-5.85-0.9),0)</f>
        <v>8</v>
      </c>
      <c r="D278" s="43" t="s">
        <v>411</v>
      </c>
      <c r="E278" s="50"/>
      <c r="F278" s="212">
        <f t="shared" si="10"/>
        <v>0</v>
      </c>
    </row>
    <row r="279" spans="1:6" ht="18.95" customHeight="1">
      <c r="A279" s="37"/>
      <c r="B279" s="42"/>
      <c r="C279" s="40"/>
      <c r="D279" s="43"/>
      <c r="E279" s="50"/>
      <c r="F279" s="212"/>
    </row>
    <row r="280" spans="1:6" ht="18.95" customHeight="1">
      <c r="A280" s="37" t="s">
        <v>530</v>
      </c>
      <c r="B280" s="42" t="s">
        <v>234</v>
      </c>
      <c r="C280" s="40"/>
      <c r="D280" s="43"/>
      <c r="E280" s="50"/>
      <c r="F280" s="212"/>
    </row>
    <row r="281" spans="1:6" ht="60" customHeight="1">
      <c r="A281" s="37" t="s">
        <v>531</v>
      </c>
      <c r="B281" s="339" t="s">
        <v>1399</v>
      </c>
      <c r="C281" s="40">
        <f>ROUND(2.6*(9.2-6.5+1*2),0)</f>
        <v>12</v>
      </c>
      <c r="D281" s="43" t="s">
        <v>153</v>
      </c>
      <c r="E281" s="50"/>
      <c r="F281" s="212">
        <f t="shared" ref="F281:F286" si="11">C281*E281</f>
        <v>0</v>
      </c>
    </row>
    <row r="282" spans="1:6" ht="45" customHeight="1">
      <c r="A282" s="37" t="s">
        <v>532</v>
      </c>
      <c r="B282" s="339" t="s">
        <v>1400</v>
      </c>
      <c r="C282" s="40">
        <f>ROUND(1*(9.2-6.5+1*2),0)</f>
        <v>5</v>
      </c>
      <c r="D282" s="43" t="s">
        <v>411</v>
      </c>
      <c r="E282" s="50"/>
      <c r="F282" s="212">
        <f t="shared" si="11"/>
        <v>0</v>
      </c>
    </row>
    <row r="283" spans="1:6" ht="62.1" customHeight="1">
      <c r="A283" s="37" t="s">
        <v>533</v>
      </c>
      <c r="B283" s="339" t="s">
        <v>1401</v>
      </c>
      <c r="C283" s="40">
        <f>ROUND(2.6*(7.45),0)</f>
        <v>19</v>
      </c>
      <c r="D283" s="43" t="s">
        <v>153</v>
      </c>
      <c r="E283" s="50"/>
      <c r="F283" s="212">
        <f t="shared" si="11"/>
        <v>0</v>
      </c>
    </row>
    <row r="284" spans="1:6" ht="45.95" customHeight="1">
      <c r="A284" s="37" t="s">
        <v>534</v>
      </c>
      <c r="B284" s="339" t="s">
        <v>1402</v>
      </c>
      <c r="C284" s="40">
        <f>ROUND(1*(7.45),0)</f>
        <v>7</v>
      </c>
      <c r="D284" s="43" t="s">
        <v>411</v>
      </c>
      <c r="E284" s="50"/>
      <c r="F284" s="212">
        <f t="shared" si="11"/>
        <v>0</v>
      </c>
    </row>
    <row r="285" spans="1:6" ht="60.95" customHeight="1">
      <c r="A285" s="37" t="s">
        <v>535</v>
      </c>
      <c r="B285" s="339" t="s">
        <v>1403</v>
      </c>
      <c r="C285" s="40">
        <f>ROUND(2.6*(9.2),0)</f>
        <v>24</v>
      </c>
      <c r="D285" s="43" t="s">
        <v>153</v>
      </c>
      <c r="E285" s="50"/>
      <c r="F285" s="212">
        <f t="shared" si="11"/>
        <v>0</v>
      </c>
    </row>
    <row r="286" spans="1:6" ht="44.1" customHeight="1">
      <c r="A286" s="37" t="s">
        <v>536</v>
      </c>
      <c r="B286" s="339" t="s">
        <v>1404</v>
      </c>
      <c r="C286" s="40">
        <f>ROUND(1*(9.2),0)</f>
        <v>9</v>
      </c>
      <c r="D286" s="43" t="s">
        <v>411</v>
      </c>
      <c r="E286" s="50"/>
      <c r="F286" s="212">
        <f t="shared" si="11"/>
        <v>0</v>
      </c>
    </row>
    <row r="287" spans="1:6">
      <c r="A287" s="37"/>
      <c r="B287" s="32"/>
      <c r="C287" s="40"/>
      <c r="D287" s="43"/>
      <c r="E287" s="50"/>
      <c r="F287" s="212"/>
    </row>
    <row r="288" spans="1:6">
      <c r="A288" s="52" t="s">
        <v>537</v>
      </c>
      <c r="B288" s="49" t="s">
        <v>237</v>
      </c>
      <c r="C288" s="40"/>
      <c r="D288" s="40"/>
      <c r="E288" s="50"/>
      <c r="F288" s="212"/>
    </row>
    <row r="289" spans="1:6">
      <c r="A289" s="37"/>
      <c r="B289" s="49"/>
      <c r="C289" s="40"/>
      <c r="D289" s="40"/>
      <c r="E289" s="50"/>
      <c r="F289" s="212"/>
    </row>
    <row r="290" spans="1:6" ht="45.95" customHeight="1">
      <c r="A290" s="37" t="s">
        <v>538</v>
      </c>
      <c r="B290" s="345" t="s">
        <v>459</v>
      </c>
      <c r="C290" s="40"/>
      <c r="D290" s="43"/>
      <c r="E290" s="50"/>
      <c r="F290" s="212"/>
    </row>
    <row r="291" spans="1:6">
      <c r="A291" s="37" t="s">
        <v>539</v>
      </c>
      <c r="B291" s="339" t="s">
        <v>1405</v>
      </c>
      <c r="C291" s="40">
        <f>ROUND(2.8*(14.1*2),0)</f>
        <v>79</v>
      </c>
      <c r="D291" s="43" t="s">
        <v>153</v>
      </c>
      <c r="E291" s="50"/>
      <c r="F291" s="212">
        <f>C291*E291</f>
        <v>0</v>
      </c>
    </row>
    <row r="292" spans="1:6">
      <c r="A292" s="37" t="s">
        <v>540</v>
      </c>
      <c r="B292" s="32" t="s">
        <v>242</v>
      </c>
      <c r="C292" s="40">
        <f>ROUND(2.8*(5.1+15.3+5.1+15.3),0)</f>
        <v>114</v>
      </c>
      <c r="D292" s="43" t="s">
        <v>153</v>
      </c>
      <c r="E292" s="50"/>
      <c r="F292" s="212">
        <f>C292*E292</f>
        <v>0</v>
      </c>
    </row>
    <row r="293" spans="1:6">
      <c r="A293" s="37"/>
      <c r="B293" s="32"/>
      <c r="C293" s="40"/>
      <c r="D293" s="43"/>
      <c r="E293" s="50"/>
      <c r="F293" s="212"/>
    </row>
    <row r="294" spans="1:6">
      <c r="A294" s="37" t="s">
        <v>541</v>
      </c>
      <c r="B294" s="49" t="s">
        <v>244</v>
      </c>
      <c r="C294" s="40"/>
      <c r="D294" s="40"/>
      <c r="E294" s="50"/>
      <c r="F294" s="212"/>
    </row>
    <row r="295" spans="1:6">
      <c r="A295" s="37"/>
      <c r="B295" s="49"/>
      <c r="C295" s="40"/>
      <c r="D295" s="40"/>
      <c r="E295" s="50"/>
      <c r="F295" s="212"/>
    </row>
    <row r="296" spans="1:6" ht="48.95" customHeight="1">
      <c r="A296" s="44" t="s">
        <v>542</v>
      </c>
      <c r="B296" s="45" t="s">
        <v>459</v>
      </c>
      <c r="C296" s="46"/>
      <c r="D296" s="196"/>
      <c r="E296" s="51"/>
      <c r="F296" s="214"/>
    </row>
    <row r="297" spans="1:6">
      <c r="A297" s="37" t="s">
        <v>543</v>
      </c>
      <c r="B297" s="32" t="s">
        <v>246</v>
      </c>
      <c r="C297" s="40">
        <f>ROUND(2.6*16.6,0)</f>
        <v>43</v>
      </c>
      <c r="D297" s="43" t="s">
        <v>153</v>
      </c>
      <c r="E297" s="50"/>
      <c r="F297" s="212">
        <f t="shared" ref="F297:F299" si="12">C297*E297</f>
        <v>0</v>
      </c>
    </row>
    <row r="298" spans="1:6">
      <c r="A298" s="37" t="s">
        <v>544</v>
      </c>
      <c r="B298" s="32" t="s">
        <v>247</v>
      </c>
      <c r="C298" s="40">
        <f>ROUND(2.6*15.6,0)</f>
        <v>41</v>
      </c>
      <c r="D298" s="43" t="s">
        <v>153</v>
      </c>
      <c r="E298" s="50"/>
      <c r="F298" s="212">
        <f t="shared" si="12"/>
        <v>0</v>
      </c>
    </row>
    <row r="299" spans="1:6">
      <c r="A299" s="37" t="s">
        <v>545</v>
      </c>
      <c r="B299" s="32" t="s">
        <v>248</v>
      </c>
      <c r="C299" s="40">
        <f>ROUND(2.6*15.6,0)</f>
        <v>41</v>
      </c>
      <c r="D299" s="43" t="s">
        <v>153</v>
      </c>
      <c r="E299" s="50"/>
      <c r="F299" s="212">
        <f t="shared" si="12"/>
        <v>0</v>
      </c>
    </row>
    <row r="300" spans="1:6">
      <c r="A300" s="37"/>
      <c r="B300" s="49"/>
      <c r="C300" s="40"/>
      <c r="D300" s="40"/>
      <c r="E300" s="50"/>
      <c r="F300" s="212"/>
    </row>
    <row r="301" spans="1:6" ht="15" customHeight="1">
      <c r="A301" s="37" t="s">
        <v>546</v>
      </c>
      <c r="B301" s="49" t="s">
        <v>547</v>
      </c>
      <c r="C301" s="40"/>
      <c r="D301" s="40"/>
      <c r="E301" s="50"/>
      <c r="F301" s="212"/>
    </row>
    <row r="302" spans="1:6" ht="15" customHeight="1">
      <c r="A302" s="37"/>
      <c r="B302" s="32"/>
      <c r="C302" s="40"/>
      <c r="D302" s="40"/>
      <c r="E302" s="50"/>
      <c r="F302" s="212"/>
    </row>
    <row r="303" spans="1:6" ht="15" customHeight="1">
      <c r="A303" s="37" t="s">
        <v>548</v>
      </c>
      <c r="B303" s="42" t="s">
        <v>252</v>
      </c>
      <c r="C303" s="40"/>
      <c r="D303" s="43"/>
      <c r="E303" s="50"/>
      <c r="F303" s="212"/>
    </row>
    <row r="304" spans="1:6" ht="72.95" customHeight="1">
      <c r="A304" s="37" t="s">
        <v>549</v>
      </c>
      <c r="B304" s="339" t="s">
        <v>1406</v>
      </c>
      <c r="C304" s="40">
        <f>ROUND(19.18*2.6,0)</f>
        <v>50</v>
      </c>
      <c r="D304" s="43" t="s">
        <v>153</v>
      </c>
      <c r="E304" s="50"/>
      <c r="F304" s="212"/>
    </row>
    <row r="305" spans="1:6" ht="56.1" customHeight="1">
      <c r="A305" s="37" t="s">
        <v>550</v>
      </c>
      <c r="B305" s="339" t="s">
        <v>1407</v>
      </c>
      <c r="C305" s="40">
        <f>ROUND(1*((19.18)),0)</f>
        <v>19</v>
      </c>
      <c r="D305" s="43" t="s">
        <v>411</v>
      </c>
      <c r="E305" s="50"/>
      <c r="F305" s="212"/>
    </row>
    <row r="306" spans="1:6" ht="66" customHeight="1">
      <c r="A306" s="37" t="s">
        <v>551</v>
      </c>
      <c r="B306" s="339" t="s">
        <v>1408</v>
      </c>
      <c r="C306" s="40">
        <f>ROUND((3.8+0.9+6.2)*2.6,0)</f>
        <v>28</v>
      </c>
      <c r="D306" s="43" t="s">
        <v>153</v>
      </c>
      <c r="E306" s="50"/>
      <c r="F306" s="212"/>
    </row>
    <row r="307" spans="1:6" ht="60.95" customHeight="1">
      <c r="A307" s="37" t="s">
        <v>552</v>
      </c>
      <c r="B307" s="339" t="s">
        <v>1409</v>
      </c>
      <c r="C307" s="40">
        <f>ROUND(1*((3.8+0.9+6.2)),0)</f>
        <v>11</v>
      </c>
      <c r="D307" s="43" t="s">
        <v>411</v>
      </c>
      <c r="E307" s="50"/>
      <c r="F307" s="212"/>
    </row>
    <row r="308" spans="1:6" ht="68.099999999999994" customHeight="1">
      <c r="A308" s="37" t="s">
        <v>553</v>
      </c>
      <c r="B308" s="339" t="s">
        <v>1410</v>
      </c>
      <c r="C308" s="40">
        <f>ROUND((9.45+8.3)*2.6,0)</f>
        <v>46</v>
      </c>
      <c r="D308" s="43" t="s">
        <v>153</v>
      </c>
      <c r="E308" s="50"/>
      <c r="F308" s="212"/>
    </row>
    <row r="309" spans="1:6" ht="72.95" customHeight="1">
      <c r="A309" s="37" t="s">
        <v>554</v>
      </c>
      <c r="B309" s="339" t="s">
        <v>1411</v>
      </c>
      <c r="C309" s="40">
        <f>ROUND(1*((9.45+8.3)),0)</f>
        <v>18</v>
      </c>
      <c r="D309" s="43" t="s">
        <v>411</v>
      </c>
      <c r="E309" s="50"/>
      <c r="F309" s="212"/>
    </row>
    <row r="310" spans="1:6" ht="63.95" customHeight="1">
      <c r="A310" s="37" t="s">
        <v>555</v>
      </c>
      <c r="B310" s="339" t="s">
        <v>1412</v>
      </c>
      <c r="C310" s="40">
        <f>ROUND((11.9)*2.6,0)</f>
        <v>31</v>
      </c>
      <c r="D310" s="43" t="s">
        <v>153</v>
      </c>
      <c r="E310" s="50"/>
      <c r="F310" s="212"/>
    </row>
    <row r="311" spans="1:6" ht="72.95" customHeight="1">
      <c r="A311" s="37" t="s">
        <v>556</v>
      </c>
      <c r="B311" s="339" t="s">
        <v>1413</v>
      </c>
      <c r="C311" s="40">
        <f>ROUND(1*((11.19)),0)</f>
        <v>11</v>
      </c>
      <c r="D311" s="43" t="s">
        <v>411</v>
      </c>
      <c r="E311" s="50"/>
      <c r="F311" s="212"/>
    </row>
    <row r="312" spans="1:6" ht="104.25" customHeight="1">
      <c r="A312" s="44" t="s">
        <v>557</v>
      </c>
      <c r="B312" s="45" t="s">
        <v>558</v>
      </c>
      <c r="C312" s="46">
        <f>ROUND((0.9*4+0.95*4)*2.6,0)</f>
        <v>19</v>
      </c>
      <c r="D312" s="196" t="s">
        <v>153</v>
      </c>
      <c r="E312" s="51"/>
      <c r="F312" s="214"/>
    </row>
    <row r="313" spans="1:6" ht="60.75" customHeight="1">
      <c r="A313" s="37" t="s">
        <v>559</v>
      </c>
      <c r="B313" s="32" t="s">
        <v>560</v>
      </c>
      <c r="C313" s="40">
        <f>ROUND(1*((0.9*4+0.95*4)),0)</f>
        <v>7</v>
      </c>
      <c r="D313" s="43" t="s">
        <v>411</v>
      </c>
      <c r="E313" s="50"/>
      <c r="F313" s="212"/>
    </row>
    <row r="314" spans="1:6" ht="15" customHeight="1">
      <c r="A314" s="37"/>
      <c r="B314" s="42"/>
      <c r="C314" s="40"/>
      <c r="D314" s="43"/>
      <c r="E314" s="50"/>
      <c r="F314" s="212"/>
    </row>
    <row r="315" spans="1:6" ht="15" customHeight="1">
      <c r="A315" s="37" t="s">
        <v>561</v>
      </c>
      <c r="B315" s="42" t="s">
        <v>254</v>
      </c>
      <c r="C315" s="40"/>
      <c r="D315" s="43"/>
      <c r="E315" s="50"/>
      <c r="F315" s="212"/>
    </row>
    <row r="316" spans="1:6" ht="66.95" customHeight="1">
      <c r="A316" s="37" t="s">
        <v>562</v>
      </c>
      <c r="B316" s="32" t="s">
        <v>447</v>
      </c>
      <c r="C316" s="40">
        <f>ROUND((20.6)*2.6,0)</f>
        <v>54</v>
      </c>
      <c r="D316" s="43" t="s">
        <v>153</v>
      </c>
      <c r="E316" s="50"/>
      <c r="F316" s="212"/>
    </row>
    <row r="317" spans="1:6" ht="63.95" customHeight="1">
      <c r="A317" s="37" t="s">
        <v>563</v>
      </c>
      <c r="B317" s="32" t="s">
        <v>564</v>
      </c>
      <c r="C317" s="40">
        <f>ROUND(1*((30.6)),0)</f>
        <v>31</v>
      </c>
      <c r="D317" s="43" t="s">
        <v>411</v>
      </c>
      <c r="E317" s="50"/>
      <c r="F317" s="212"/>
    </row>
    <row r="318" spans="1:6" ht="18.95" customHeight="1">
      <c r="A318" s="37"/>
      <c r="B318" s="32"/>
      <c r="C318" s="40"/>
      <c r="D318" s="43"/>
      <c r="E318" s="50"/>
      <c r="F318" s="212"/>
    </row>
    <row r="319" spans="1:6" ht="15" customHeight="1">
      <c r="A319" s="37" t="s">
        <v>565</v>
      </c>
      <c r="B319" s="342" t="s">
        <v>1414</v>
      </c>
      <c r="C319" s="40"/>
      <c r="D319" s="43"/>
      <c r="E319" s="50"/>
      <c r="F319" s="212"/>
    </row>
    <row r="320" spans="1:6" ht="94.5">
      <c r="A320" s="37" t="s">
        <v>566</v>
      </c>
      <c r="B320" s="32" t="s">
        <v>567</v>
      </c>
      <c r="C320" s="40">
        <f>ROUND((23.5)*2.6,0)</f>
        <v>61</v>
      </c>
      <c r="D320" s="43" t="s">
        <v>153</v>
      </c>
      <c r="E320" s="50"/>
      <c r="F320" s="212"/>
    </row>
    <row r="321" spans="1:6" ht="54" customHeight="1">
      <c r="A321" s="37" t="s">
        <v>568</v>
      </c>
      <c r="B321" s="32" t="s">
        <v>564</v>
      </c>
      <c r="C321" s="40">
        <f>ROUND(1*((23.5)),0)</f>
        <v>24</v>
      </c>
      <c r="D321" s="43" t="s">
        <v>411</v>
      </c>
      <c r="E321" s="50"/>
      <c r="F321" s="212"/>
    </row>
    <row r="322" spans="1:6" ht="15" customHeight="1">
      <c r="A322" s="37"/>
      <c r="B322" s="42"/>
      <c r="C322" s="40"/>
      <c r="D322" s="43"/>
      <c r="E322" s="50"/>
      <c r="F322" s="212"/>
    </row>
    <row r="323" spans="1:6" ht="51" customHeight="1">
      <c r="A323" s="37" t="s">
        <v>569</v>
      </c>
      <c r="B323" s="32" t="s">
        <v>459</v>
      </c>
      <c r="C323" s="40"/>
      <c r="D323" s="43"/>
      <c r="E323" s="50"/>
      <c r="F323" s="212"/>
    </row>
    <row r="324" spans="1:6" ht="26.1" customHeight="1">
      <c r="A324" s="37" t="s">
        <v>570</v>
      </c>
      <c r="B324" s="32" t="s">
        <v>260</v>
      </c>
      <c r="C324" s="40">
        <f>ROUND((15.4)*2.6,0)</f>
        <v>40</v>
      </c>
      <c r="D324" s="43" t="s">
        <v>153</v>
      </c>
      <c r="E324" s="40"/>
      <c r="F324" s="212"/>
    </row>
    <row r="325" spans="1:6" ht="26.1" customHeight="1">
      <c r="A325" s="37" t="s">
        <v>571</v>
      </c>
      <c r="B325" s="32" t="s">
        <v>262</v>
      </c>
      <c r="C325" s="40">
        <f>ROUND((14.7)*2.6,0)</f>
        <v>38</v>
      </c>
      <c r="D325" s="43" t="s">
        <v>153</v>
      </c>
      <c r="E325" s="40"/>
      <c r="F325" s="212"/>
    </row>
    <row r="326" spans="1:6" ht="26.1" customHeight="1">
      <c r="A326" s="37" t="s">
        <v>572</v>
      </c>
      <c r="B326" s="32" t="s">
        <v>264</v>
      </c>
      <c r="C326" s="40">
        <f>ROUND((20)*2.6,0)</f>
        <v>52</v>
      </c>
      <c r="D326" s="43" t="s">
        <v>153</v>
      </c>
      <c r="E326" s="40"/>
      <c r="F326" s="212"/>
    </row>
    <row r="327" spans="1:6" ht="26.1" customHeight="1">
      <c r="A327" s="37" t="s">
        <v>573</v>
      </c>
      <c r="B327" s="32" t="s">
        <v>266</v>
      </c>
      <c r="C327" s="40">
        <f>ROUND((12.7)*2.6,0)</f>
        <v>33</v>
      </c>
      <c r="D327" s="43" t="s">
        <v>153</v>
      </c>
      <c r="E327" s="40"/>
      <c r="F327" s="212"/>
    </row>
    <row r="328" spans="1:6" ht="26.1" customHeight="1">
      <c r="A328" s="37" t="s">
        <v>574</v>
      </c>
      <c r="B328" s="32" t="s">
        <v>268</v>
      </c>
      <c r="C328" s="40">
        <f>ROUND((15.5)*2.6,0)</f>
        <v>40</v>
      </c>
      <c r="D328" s="43" t="s">
        <v>153</v>
      </c>
      <c r="E328" s="40"/>
      <c r="F328" s="212"/>
    </row>
    <row r="329" spans="1:6" ht="26.1" customHeight="1">
      <c r="A329" s="37" t="s">
        <v>575</v>
      </c>
      <c r="B329" s="32" t="s">
        <v>270</v>
      </c>
      <c r="C329" s="40">
        <f>ROUND((15.5)*2.6,0)</f>
        <v>40</v>
      </c>
      <c r="D329" s="43" t="s">
        <v>153</v>
      </c>
      <c r="E329" s="40"/>
      <c r="F329" s="212"/>
    </row>
    <row r="330" spans="1:6" ht="26.1" customHeight="1">
      <c r="A330" s="37" t="s">
        <v>576</v>
      </c>
      <c r="B330" s="32" t="s">
        <v>272</v>
      </c>
      <c r="C330" s="40">
        <f>ROUND((17.2)*2.6,0)</f>
        <v>45</v>
      </c>
      <c r="D330" s="43" t="s">
        <v>153</v>
      </c>
      <c r="E330" s="40"/>
      <c r="F330" s="212"/>
    </row>
    <row r="331" spans="1:6" ht="26.1" customHeight="1">
      <c r="A331" s="37" t="s">
        <v>577</v>
      </c>
      <c r="B331" s="32" t="s">
        <v>274</v>
      </c>
      <c r="C331" s="40">
        <f>ROUND((16.1)*2.6,0)</f>
        <v>42</v>
      </c>
      <c r="D331" s="43" t="s">
        <v>153</v>
      </c>
      <c r="E331" s="40"/>
      <c r="F331" s="212"/>
    </row>
    <row r="332" spans="1:6" ht="26.1" customHeight="1">
      <c r="A332" s="37" t="s">
        <v>578</v>
      </c>
      <c r="B332" s="32" t="s">
        <v>579</v>
      </c>
      <c r="C332" s="40">
        <f>ROUND((8.5)*2.6,0)</f>
        <v>22</v>
      </c>
      <c r="D332" s="43" t="s">
        <v>153</v>
      </c>
      <c r="E332" s="40"/>
      <c r="F332" s="212"/>
    </row>
    <row r="333" spans="1:6" ht="26.1" customHeight="1">
      <c r="A333" s="44" t="s">
        <v>580</v>
      </c>
      <c r="B333" s="44" t="s">
        <v>581</v>
      </c>
      <c r="C333" s="46">
        <f>ROUND((3.4*2)*2.6,0)</f>
        <v>18</v>
      </c>
      <c r="D333" s="196" t="s">
        <v>153</v>
      </c>
      <c r="E333" s="225"/>
      <c r="F333" s="214"/>
    </row>
    <row r="334" spans="1:6" ht="26.1" customHeight="1">
      <c r="A334" s="37"/>
      <c r="B334" s="32"/>
      <c r="C334" s="40"/>
      <c r="D334" s="43"/>
      <c r="E334" s="226"/>
      <c r="F334" s="212"/>
    </row>
    <row r="335" spans="1:6" ht="15" customHeight="1">
      <c r="A335" s="37" t="s">
        <v>582</v>
      </c>
      <c r="B335" s="49" t="s">
        <v>583</v>
      </c>
      <c r="C335" s="40"/>
      <c r="D335" s="40"/>
      <c r="E335" s="50"/>
      <c r="F335" s="212"/>
    </row>
    <row r="336" spans="1:6" ht="15" customHeight="1">
      <c r="A336" s="37"/>
      <c r="B336" s="49"/>
      <c r="C336" s="40"/>
      <c r="D336" s="40"/>
      <c r="E336" s="50"/>
      <c r="F336" s="212"/>
    </row>
    <row r="337" spans="1:6" ht="26.1" customHeight="1">
      <c r="A337" s="37" t="s">
        <v>584</v>
      </c>
      <c r="B337" s="342" t="s">
        <v>1415</v>
      </c>
      <c r="C337" s="40"/>
      <c r="D337" s="43"/>
      <c r="E337" s="50"/>
      <c r="F337" s="212"/>
    </row>
    <row r="338" spans="1:6" ht="75" customHeight="1">
      <c r="A338" s="37" t="s">
        <v>585</v>
      </c>
      <c r="B338" s="216" t="s">
        <v>586</v>
      </c>
      <c r="C338" s="40">
        <f>ROUND((11.66)*2.6,0)</f>
        <v>30</v>
      </c>
      <c r="D338" s="43" t="s">
        <v>153</v>
      </c>
      <c r="E338" s="50"/>
      <c r="F338" s="212"/>
    </row>
    <row r="339" spans="1:6" ht="75" customHeight="1">
      <c r="A339" s="37" t="s">
        <v>587</v>
      </c>
      <c r="B339" s="32" t="s">
        <v>564</v>
      </c>
      <c r="C339" s="40">
        <f>ROUND(1*((11.66)),0)</f>
        <v>12</v>
      </c>
      <c r="D339" s="43" t="s">
        <v>411</v>
      </c>
      <c r="E339" s="50"/>
      <c r="F339" s="212"/>
    </row>
    <row r="340" spans="1:6" ht="18.95" customHeight="1">
      <c r="A340" s="37"/>
      <c r="B340" s="32"/>
      <c r="C340" s="40"/>
      <c r="D340" s="43"/>
      <c r="E340" s="50"/>
      <c r="F340" s="212"/>
    </row>
    <row r="341" spans="1:6" ht="26.1" customHeight="1">
      <c r="A341" s="37" t="s">
        <v>588</v>
      </c>
      <c r="B341" s="42" t="s">
        <v>284</v>
      </c>
      <c r="C341" s="40"/>
      <c r="D341" s="43"/>
      <c r="E341" s="50"/>
      <c r="F341" s="212"/>
    </row>
    <row r="342" spans="1:6" ht="63" customHeight="1">
      <c r="A342" s="37"/>
      <c r="B342" s="32" t="s">
        <v>459</v>
      </c>
      <c r="C342" s="40">
        <f>ROUND((13.1)*2.6,0)</f>
        <v>34</v>
      </c>
      <c r="D342" s="43" t="s">
        <v>153</v>
      </c>
      <c r="E342" s="50"/>
      <c r="F342" s="212"/>
    </row>
    <row r="343" spans="1:6" ht="15" customHeight="1">
      <c r="A343" s="37"/>
      <c r="B343" s="32"/>
      <c r="C343" s="40"/>
      <c r="D343" s="43"/>
      <c r="E343" s="50"/>
      <c r="F343" s="212"/>
    </row>
    <row r="344" spans="1:6" ht="15" customHeight="1">
      <c r="A344" s="37" t="s">
        <v>589</v>
      </c>
      <c r="B344" s="42" t="s">
        <v>287</v>
      </c>
      <c r="C344" s="40"/>
      <c r="D344" s="43"/>
      <c r="E344" s="50"/>
      <c r="F344" s="212"/>
    </row>
    <row r="345" spans="1:6" ht="105" customHeight="1">
      <c r="A345" s="37" t="s">
        <v>590</v>
      </c>
      <c r="B345" s="339" t="s">
        <v>1416</v>
      </c>
      <c r="C345" s="40">
        <f>ROUND((6.57)*2.6,0)</f>
        <v>17</v>
      </c>
      <c r="D345" s="43" t="s">
        <v>153</v>
      </c>
      <c r="E345" s="50"/>
      <c r="F345" s="212"/>
    </row>
    <row r="346" spans="1:6" ht="63" customHeight="1">
      <c r="A346" s="37" t="s">
        <v>591</v>
      </c>
      <c r="B346" s="339" t="s">
        <v>1417</v>
      </c>
      <c r="C346" s="40">
        <f>ROUND(1*((6.57)),0)</f>
        <v>7</v>
      </c>
      <c r="D346" s="43" t="s">
        <v>411</v>
      </c>
      <c r="E346" s="50"/>
      <c r="F346" s="212"/>
    </row>
    <row r="347" spans="1:6" ht="105" customHeight="1">
      <c r="A347" s="37" t="s">
        <v>592</v>
      </c>
      <c r="B347" s="339" t="s">
        <v>1418</v>
      </c>
      <c r="C347" s="40">
        <f>ROUND((21.86-6.57)*2.6,0)</f>
        <v>40</v>
      </c>
      <c r="D347" s="43" t="s">
        <v>153</v>
      </c>
      <c r="E347" s="50"/>
      <c r="F347" s="212"/>
    </row>
    <row r="348" spans="1:6" ht="63.95" customHeight="1">
      <c r="A348" s="37" t="s">
        <v>593</v>
      </c>
      <c r="B348" s="32" t="s">
        <v>594</v>
      </c>
      <c r="C348" s="40">
        <f>ROUND(1*((21.86-6.57)),0)</f>
        <v>15</v>
      </c>
      <c r="D348" s="43" t="s">
        <v>411</v>
      </c>
      <c r="E348" s="50"/>
      <c r="F348" s="212"/>
    </row>
    <row r="349" spans="1:6" ht="15" customHeight="1">
      <c r="A349" s="44"/>
      <c r="B349" s="45"/>
      <c r="C349" s="46"/>
      <c r="D349" s="196"/>
      <c r="E349" s="51"/>
      <c r="F349" s="214"/>
    </row>
    <row r="350" spans="1:6" ht="15" customHeight="1">
      <c r="A350" s="37" t="s">
        <v>595</v>
      </c>
      <c r="B350" s="49" t="s">
        <v>596</v>
      </c>
      <c r="C350" s="40"/>
      <c r="D350" s="40"/>
      <c r="E350" s="50"/>
      <c r="F350" s="212"/>
    </row>
    <row r="351" spans="1:6" ht="15" customHeight="1">
      <c r="A351" s="37"/>
      <c r="B351" s="32"/>
      <c r="C351" s="40"/>
      <c r="D351" s="40"/>
      <c r="E351" s="50"/>
      <c r="F351" s="212"/>
    </row>
    <row r="352" spans="1:6" ht="15" customHeight="1">
      <c r="A352" s="37" t="s">
        <v>597</v>
      </c>
      <c r="B352" s="42" t="s">
        <v>291</v>
      </c>
      <c r="C352" s="40"/>
      <c r="D352" s="43"/>
      <c r="E352" s="50"/>
      <c r="F352" s="212"/>
    </row>
    <row r="353" spans="1:6" ht="102.95" customHeight="1">
      <c r="A353" s="37" t="s">
        <v>598</v>
      </c>
      <c r="B353" s="339" t="s">
        <v>1419</v>
      </c>
      <c r="C353" s="40">
        <f>ROUND((6.54)*2.6,0)</f>
        <v>17</v>
      </c>
      <c r="D353" s="43" t="s">
        <v>153</v>
      </c>
      <c r="E353" s="50"/>
      <c r="F353" s="212"/>
    </row>
    <row r="354" spans="1:6" ht="62.1" customHeight="1">
      <c r="A354" s="37" t="s">
        <v>599</v>
      </c>
      <c r="B354" s="339" t="s">
        <v>1420</v>
      </c>
      <c r="C354" s="40">
        <f>ROUND(1*((6.54)),0)</f>
        <v>7</v>
      </c>
      <c r="D354" s="43" t="s">
        <v>411</v>
      </c>
      <c r="E354" s="50"/>
      <c r="F354" s="212"/>
    </row>
    <row r="355" spans="1:6" ht="102.95" customHeight="1">
      <c r="A355" s="37" t="s">
        <v>600</v>
      </c>
      <c r="B355" s="339" t="s">
        <v>1421</v>
      </c>
      <c r="C355" s="40">
        <f>ROUND((15.32)*2.6,0)</f>
        <v>40</v>
      </c>
      <c r="D355" s="43" t="s">
        <v>153</v>
      </c>
      <c r="E355" s="50"/>
      <c r="F355" s="212"/>
    </row>
    <row r="356" spans="1:6" ht="56.1" customHeight="1">
      <c r="A356" s="37" t="s">
        <v>601</v>
      </c>
      <c r="B356" s="32" t="s">
        <v>602</v>
      </c>
      <c r="C356" s="40">
        <f>ROUND(1*((15.32)),0)</f>
        <v>15</v>
      </c>
      <c r="D356" s="43" t="s">
        <v>411</v>
      </c>
      <c r="E356" s="50"/>
      <c r="F356" s="212"/>
    </row>
    <row r="357" spans="1:6" ht="14.1" customHeight="1">
      <c r="A357" s="37"/>
      <c r="B357" s="32"/>
      <c r="C357" s="40"/>
      <c r="D357" s="43"/>
      <c r="E357" s="50"/>
      <c r="F357" s="212"/>
    </row>
    <row r="358" spans="1:6" ht="63" customHeight="1">
      <c r="A358" s="37" t="s">
        <v>603</v>
      </c>
      <c r="B358" s="32" t="s">
        <v>447</v>
      </c>
      <c r="C358" s="40"/>
      <c r="D358" s="43"/>
      <c r="E358" s="50"/>
      <c r="F358" s="212"/>
    </row>
    <row r="359" spans="1:6" ht="27.95" customHeight="1">
      <c r="A359" s="37" t="s">
        <v>604</v>
      </c>
      <c r="B359" s="345" t="s">
        <v>294</v>
      </c>
      <c r="C359" s="40">
        <f>ROUND((14.38)*2.6,0)</f>
        <v>37</v>
      </c>
      <c r="D359" s="43" t="s">
        <v>153</v>
      </c>
      <c r="E359" s="50"/>
      <c r="F359" s="212"/>
    </row>
    <row r="360" spans="1:6" ht="27.95" customHeight="1">
      <c r="A360" s="37" t="s">
        <v>605</v>
      </c>
      <c r="B360" s="345" t="s">
        <v>1422</v>
      </c>
      <c r="C360" s="40">
        <f>ROUND((13.4*5)*2.6,0)</f>
        <v>174</v>
      </c>
      <c r="D360" s="43" t="s">
        <v>153</v>
      </c>
      <c r="E360" s="50"/>
      <c r="F360" s="212"/>
    </row>
    <row r="361" spans="1:6" ht="27.95" customHeight="1">
      <c r="A361" s="37" t="s">
        <v>606</v>
      </c>
      <c r="B361" s="345" t="s">
        <v>1423</v>
      </c>
      <c r="C361" s="40">
        <f>ROUND((18.13)*2.6,0)</f>
        <v>47</v>
      </c>
      <c r="D361" s="43" t="s">
        <v>153</v>
      </c>
      <c r="E361" s="50"/>
      <c r="F361" s="212"/>
    </row>
    <row r="362" spans="1:6" ht="27.95" customHeight="1">
      <c r="A362" s="37" t="s">
        <v>607</v>
      </c>
      <c r="B362" s="345" t="s">
        <v>1424</v>
      </c>
      <c r="C362" s="40">
        <f>ROUND((18.47*2)*2.6,0)</f>
        <v>96</v>
      </c>
      <c r="D362" s="43" t="s">
        <v>153</v>
      </c>
      <c r="E362" s="50"/>
      <c r="F362" s="212"/>
    </row>
    <row r="363" spans="1:6" ht="18.75" customHeight="1">
      <c r="A363" s="37"/>
      <c r="B363" s="32"/>
      <c r="C363" s="40"/>
      <c r="D363" s="43"/>
      <c r="E363" s="50"/>
      <c r="F363" s="212"/>
    </row>
    <row r="364" spans="1:6" ht="54.95" customHeight="1">
      <c r="A364" s="37" t="s">
        <v>608</v>
      </c>
      <c r="B364" s="32" t="s">
        <v>564</v>
      </c>
      <c r="C364" s="40"/>
      <c r="D364" s="43"/>
      <c r="E364" s="50"/>
      <c r="F364" s="212"/>
    </row>
    <row r="365" spans="1:6" ht="15" customHeight="1">
      <c r="A365" s="37" t="s">
        <v>609</v>
      </c>
      <c r="B365" s="32" t="s">
        <v>294</v>
      </c>
      <c r="C365" s="40">
        <f>ROUND(1*((14.38)),0)</f>
        <v>14</v>
      </c>
      <c r="D365" s="43" t="s">
        <v>411</v>
      </c>
      <c r="E365" s="50"/>
      <c r="F365" s="212"/>
    </row>
    <row r="366" spans="1:6" ht="15" customHeight="1">
      <c r="A366" s="37" t="s">
        <v>610</v>
      </c>
      <c r="B366" s="32" t="s">
        <v>296</v>
      </c>
      <c r="C366" s="40">
        <f>ROUND(1*((13.4*5)),0)</f>
        <v>67</v>
      </c>
      <c r="D366" s="43" t="s">
        <v>411</v>
      </c>
      <c r="E366" s="50"/>
      <c r="F366" s="212"/>
    </row>
    <row r="367" spans="1:6" ht="15" customHeight="1">
      <c r="A367" s="37" t="s">
        <v>611</v>
      </c>
      <c r="B367" s="32" t="s">
        <v>298</v>
      </c>
      <c r="C367" s="40">
        <f>ROUND(1*((18.16)),0)</f>
        <v>18</v>
      </c>
      <c r="D367" s="43" t="s">
        <v>411</v>
      </c>
      <c r="E367" s="50"/>
      <c r="F367" s="212"/>
    </row>
    <row r="368" spans="1:6" ht="15" customHeight="1">
      <c r="A368" s="37" t="s">
        <v>612</v>
      </c>
      <c r="B368" s="32" t="s">
        <v>300</v>
      </c>
      <c r="C368" s="40">
        <f>ROUND(1*((18.47*2)),0)</f>
        <v>37</v>
      </c>
      <c r="D368" s="43" t="s">
        <v>411</v>
      </c>
      <c r="E368" s="50"/>
      <c r="F368" s="212"/>
    </row>
    <row r="369" spans="1:6" ht="15" customHeight="1">
      <c r="A369" s="37"/>
      <c r="B369" s="32"/>
      <c r="C369" s="40"/>
      <c r="D369" s="43"/>
      <c r="E369" s="50"/>
      <c r="F369" s="212"/>
    </row>
    <row r="370" spans="1:6" ht="21" customHeight="1">
      <c r="A370" s="37" t="s">
        <v>613</v>
      </c>
      <c r="B370" s="49" t="s">
        <v>614</v>
      </c>
      <c r="C370" s="40"/>
      <c r="D370" s="40"/>
      <c r="E370" s="50"/>
      <c r="F370" s="212"/>
    </row>
    <row r="371" spans="1:6" ht="15" customHeight="1">
      <c r="A371" s="44"/>
      <c r="B371" s="45"/>
      <c r="C371" s="46"/>
      <c r="D371" s="196"/>
      <c r="E371" s="51"/>
      <c r="F371" s="214"/>
    </row>
    <row r="372" spans="1:6" ht="15" customHeight="1">
      <c r="A372" s="37" t="s">
        <v>615</v>
      </c>
      <c r="B372" s="42" t="s">
        <v>304</v>
      </c>
      <c r="C372" s="40"/>
      <c r="D372" s="43"/>
      <c r="E372" s="50"/>
      <c r="F372" s="212"/>
    </row>
    <row r="373" spans="1:6" ht="71.099999999999994" customHeight="1">
      <c r="A373" s="37" t="s">
        <v>616</v>
      </c>
      <c r="B373" s="32" t="s">
        <v>447</v>
      </c>
      <c r="C373" s="40">
        <f>ROUND((6.15+6.75+2.9+3.7+10.7)*2.6,0)</f>
        <v>79</v>
      </c>
      <c r="D373" s="43" t="s">
        <v>153</v>
      </c>
      <c r="E373" s="50"/>
      <c r="F373" s="212"/>
    </row>
    <row r="374" spans="1:6" ht="71.099999999999994" customHeight="1">
      <c r="A374" s="37" t="s">
        <v>617</v>
      </c>
      <c r="B374" s="32" t="s">
        <v>564</v>
      </c>
      <c r="C374" s="40">
        <f>ROUND(1*((6.15+6.75+2.9+3.7+10.7)),0)</f>
        <v>30</v>
      </c>
      <c r="D374" s="43" t="s">
        <v>411</v>
      </c>
      <c r="E374" s="50"/>
      <c r="F374" s="212"/>
    </row>
    <row r="375" spans="1:6" ht="87" customHeight="1">
      <c r="A375" s="37" t="s">
        <v>618</v>
      </c>
      <c r="B375" s="32" t="s">
        <v>558</v>
      </c>
      <c r="C375" s="40">
        <f>ROUND((0.9+1+0.98+1.98+0.7)*2.6,0)</f>
        <v>14</v>
      </c>
      <c r="D375" s="43" t="s">
        <v>153</v>
      </c>
      <c r="E375" s="50"/>
      <c r="F375" s="212"/>
    </row>
    <row r="376" spans="1:6" ht="71.099999999999994" customHeight="1">
      <c r="A376" s="37" t="s">
        <v>619</v>
      </c>
      <c r="B376" s="32" t="s">
        <v>560</v>
      </c>
      <c r="C376" s="40">
        <f>ROUND(1*((0.9+1+0.98+1.98+0.7)),0)</f>
        <v>6</v>
      </c>
      <c r="D376" s="43" t="s">
        <v>411</v>
      </c>
      <c r="E376" s="50"/>
      <c r="F376" s="212"/>
    </row>
    <row r="377" spans="1:6" ht="15" customHeight="1">
      <c r="A377" s="37"/>
      <c r="B377" s="32"/>
      <c r="C377" s="40"/>
      <c r="D377" s="43"/>
      <c r="E377" s="50"/>
      <c r="F377" s="212"/>
    </row>
    <row r="378" spans="1:6" ht="17.100000000000001" customHeight="1">
      <c r="A378" s="37" t="s">
        <v>620</v>
      </c>
      <c r="B378" s="49" t="s">
        <v>306</v>
      </c>
      <c r="C378" s="40"/>
      <c r="D378" s="40"/>
      <c r="E378" s="50"/>
      <c r="F378" s="212"/>
    </row>
    <row r="379" spans="1:6" ht="15" customHeight="1">
      <c r="A379" s="37"/>
      <c r="B379" s="49"/>
      <c r="C379" s="40"/>
      <c r="D379" s="40"/>
      <c r="E379" s="50"/>
      <c r="F379" s="212"/>
    </row>
    <row r="380" spans="1:6" ht="59.1" customHeight="1">
      <c r="A380" s="37" t="s">
        <v>621</v>
      </c>
      <c r="B380" s="339" t="s">
        <v>1350</v>
      </c>
      <c r="C380" s="40"/>
      <c r="D380" s="43"/>
      <c r="E380" s="50"/>
      <c r="F380" s="212"/>
    </row>
    <row r="381" spans="1:6" ht="20.100000000000001" customHeight="1">
      <c r="A381" s="37" t="s">
        <v>622</v>
      </c>
      <c r="B381" s="339" t="s">
        <v>1351</v>
      </c>
      <c r="C381" s="40">
        <f>ROUND((14.1)*2.6,0)</f>
        <v>37</v>
      </c>
      <c r="D381" s="43" t="s">
        <v>153</v>
      </c>
      <c r="E381" s="50"/>
      <c r="F381" s="212"/>
    </row>
    <row r="382" spans="1:6" ht="20.100000000000001" customHeight="1">
      <c r="A382" s="37" t="s">
        <v>623</v>
      </c>
      <c r="B382" s="339" t="s">
        <v>1352</v>
      </c>
      <c r="C382" s="40">
        <f>ROUND((15.3)*2.6,0)</f>
        <v>40</v>
      </c>
      <c r="D382" s="43" t="s">
        <v>153</v>
      </c>
      <c r="E382" s="227"/>
      <c r="F382" s="212"/>
    </row>
    <row r="383" spans="1:6" ht="15" customHeight="1">
      <c r="A383" s="37"/>
      <c r="B383" s="32"/>
      <c r="C383" s="40"/>
      <c r="D383" s="43"/>
      <c r="E383" s="50"/>
      <c r="F383" s="212"/>
    </row>
    <row r="384" spans="1:6" ht="15" customHeight="1">
      <c r="A384" s="37"/>
      <c r="B384" s="32"/>
      <c r="C384" s="40"/>
      <c r="D384" s="43"/>
      <c r="E384" s="50"/>
      <c r="F384" s="212"/>
    </row>
    <row r="385" spans="1:6" ht="18.95" customHeight="1">
      <c r="A385" s="37" t="s">
        <v>624</v>
      </c>
      <c r="B385" s="49" t="s">
        <v>625</v>
      </c>
      <c r="C385" s="40"/>
      <c r="D385" s="43"/>
      <c r="E385" s="50"/>
      <c r="F385" s="212"/>
    </row>
    <row r="386" spans="1:6" ht="21.95" customHeight="1">
      <c r="A386" s="37" t="s">
        <v>626</v>
      </c>
      <c r="B386" s="49" t="s">
        <v>417</v>
      </c>
      <c r="C386" s="40"/>
      <c r="D386" s="43"/>
      <c r="E386" s="50"/>
      <c r="F386" s="212"/>
    </row>
    <row r="387" spans="1:6" ht="15" customHeight="1">
      <c r="A387" s="37" t="s">
        <v>627</v>
      </c>
      <c r="B387" s="32"/>
      <c r="C387" s="40">
        <v>14</v>
      </c>
      <c r="D387" s="43" t="s">
        <v>628</v>
      </c>
      <c r="E387" s="50"/>
      <c r="F387" s="212"/>
    </row>
    <row r="388" spans="1:6" ht="15" customHeight="1">
      <c r="A388" s="37" t="s">
        <v>629</v>
      </c>
      <c r="B388" s="32"/>
      <c r="C388" s="40">
        <v>6</v>
      </c>
      <c r="D388" s="43" t="s">
        <v>628</v>
      </c>
      <c r="E388" s="50"/>
      <c r="F388" s="212"/>
    </row>
    <row r="389" spans="1:6" ht="15" customHeight="1">
      <c r="A389" s="37" t="s">
        <v>630</v>
      </c>
      <c r="B389" s="32" t="s">
        <v>631</v>
      </c>
      <c r="C389" s="40">
        <v>12</v>
      </c>
      <c r="D389" s="43" t="s">
        <v>628</v>
      </c>
      <c r="E389" s="50"/>
      <c r="F389" s="212"/>
    </row>
    <row r="390" spans="1:6" ht="15" customHeight="1">
      <c r="A390" s="37" t="s">
        <v>632</v>
      </c>
      <c r="B390" s="32" t="s">
        <v>633</v>
      </c>
      <c r="C390" s="40">
        <v>12</v>
      </c>
      <c r="D390" s="43" t="s">
        <v>628</v>
      </c>
      <c r="E390" s="50"/>
      <c r="F390" s="212"/>
    </row>
    <row r="391" spans="1:6" ht="15" customHeight="1">
      <c r="A391" s="37" t="s">
        <v>634</v>
      </c>
      <c r="B391" s="32" t="s">
        <v>635</v>
      </c>
      <c r="C391" s="40">
        <v>14</v>
      </c>
      <c r="D391" s="43" t="s">
        <v>628</v>
      </c>
      <c r="E391" s="50"/>
      <c r="F391" s="212"/>
    </row>
    <row r="392" spans="1:6" ht="15" customHeight="1">
      <c r="A392" s="37" t="s">
        <v>636</v>
      </c>
      <c r="B392" s="32" t="s">
        <v>637</v>
      </c>
      <c r="C392" s="40">
        <v>14</v>
      </c>
      <c r="D392" s="43" t="s">
        <v>628</v>
      </c>
      <c r="E392" s="50"/>
      <c r="F392" s="212"/>
    </row>
    <row r="393" spans="1:6" ht="15" customHeight="1">
      <c r="A393" s="37" t="s">
        <v>638</v>
      </c>
      <c r="B393" s="32" t="s">
        <v>639</v>
      </c>
      <c r="C393" s="40">
        <v>4</v>
      </c>
      <c r="D393" s="43" t="s">
        <v>628</v>
      </c>
      <c r="E393" s="50"/>
      <c r="F393" s="212"/>
    </row>
    <row r="394" spans="1:6" ht="15" customHeight="1">
      <c r="A394" s="37" t="s">
        <v>640</v>
      </c>
      <c r="B394" s="32" t="s">
        <v>641</v>
      </c>
      <c r="C394" s="40">
        <v>4</v>
      </c>
      <c r="D394" s="43" t="s">
        <v>628</v>
      </c>
      <c r="E394" s="50"/>
      <c r="F394" s="212"/>
    </row>
    <row r="395" spans="1:6" ht="15" customHeight="1">
      <c r="A395" s="37" t="s">
        <v>642</v>
      </c>
      <c r="B395" s="32" t="s">
        <v>643</v>
      </c>
      <c r="C395" s="40">
        <v>6</v>
      </c>
      <c r="D395" s="43" t="s">
        <v>628</v>
      </c>
      <c r="E395" s="50"/>
      <c r="F395" s="212"/>
    </row>
    <row r="396" spans="1:6" ht="15" customHeight="1">
      <c r="A396" s="37" t="s">
        <v>644</v>
      </c>
      <c r="B396" s="32" t="s">
        <v>645</v>
      </c>
      <c r="C396" s="40">
        <v>14</v>
      </c>
      <c r="D396" s="43" t="s">
        <v>628</v>
      </c>
      <c r="E396" s="50"/>
      <c r="F396" s="212"/>
    </row>
    <row r="397" spans="1:6" ht="15" customHeight="1">
      <c r="A397" s="37" t="s">
        <v>646</v>
      </c>
      <c r="B397" s="32" t="s">
        <v>647</v>
      </c>
      <c r="C397" s="40">
        <v>4</v>
      </c>
      <c r="D397" s="43" t="s">
        <v>628</v>
      </c>
      <c r="E397" s="50"/>
      <c r="F397" s="212"/>
    </row>
    <row r="398" spans="1:6" ht="15" customHeight="1">
      <c r="A398" s="37" t="s">
        <v>648</v>
      </c>
      <c r="B398" s="32" t="s">
        <v>649</v>
      </c>
      <c r="C398" s="40">
        <v>2</v>
      </c>
      <c r="D398" s="43" t="s">
        <v>628</v>
      </c>
      <c r="E398" s="50"/>
      <c r="F398" s="212"/>
    </row>
    <row r="399" spans="1:6" ht="15" customHeight="1">
      <c r="A399" s="37" t="s">
        <v>650</v>
      </c>
      <c r="B399" s="32" t="s">
        <v>651</v>
      </c>
      <c r="C399" s="40">
        <v>2</v>
      </c>
      <c r="D399" s="43" t="s">
        <v>628</v>
      </c>
      <c r="E399" s="50"/>
      <c r="F399" s="212"/>
    </row>
    <row r="400" spans="1:6" ht="15" customHeight="1">
      <c r="A400" s="228" t="s">
        <v>652</v>
      </c>
      <c r="B400" s="54" t="s">
        <v>653</v>
      </c>
      <c r="C400" s="197">
        <v>12</v>
      </c>
      <c r="D400" s="198" t="s">
        <v>628</v>
      </c>
      <c r="E400" s="229"/>
      <c r="F400" s="230"/>
    </row>
    <row r="401" spans="1:6" ht="15" customHeight="1">
      <c r="A401" s="37" t="s">
        <v>654</v>
      </c>
      <c r="B401" s="32" t="s">
        <v>655</v>
      </c>
      <c r="C401" s="40">
        <v>3</v>
      </c>
      <c r="D401" s="43" t="s">
        <v>628</v>
      </c>
      <c r="E401" s="50"/>
      <c r="F401" s="212"/>
    </row>
    <row r="402" spans="1:6" ht="15" customHeight="1">
      <c r="A402" s="37" t="s">
        <v>656</v>
      </c>
      <c r="B402" s="32" t="s">
        <v>657</v>
      </c>
      <c r="C402" s="40">
        <v>3</v>
      </c>
      <c r="D402" s="43" t="s">
        <v>628</v>
      </c>
      <c r="E402" s="50"/>
      <c r="F402" s="212"/>
    </row>
    <row r="403" spans="1:6" ht="15" customHeight="1">
      <c r="A403" s="37"/>
      <c r="B403" s="32"/>
      <c r="C403" s="40"/>
      <c r="D403" s="43"/>
      <c r="E403" s="50"/>
      <c r="F403" s="212"/>
    </row>
    <row r="404" spans="1:6" ht="15" customHeight="1">
      <c r="A404" s="37" t="s">
        <v>658</v>
      </c>
      <c r="B404" s="49" t="s">
        <v>419</v>
      </c>
      <c r="C404" s="40"/>
      <c r="D404" s="43"/>
      <c r="E404" s="50"/>
      <c r="F404" s="212"/>
    </row>
    <row r="405" spans="1:6" ht="15" customHeight="1">
      <c r="A405" s="37" t="s">
        <v>659</v>
      </c>
      <c r="B405" s="32"/>
      <c r="C405" s="40">
        <v>7</v>
      </c>
      <c r="D405" s="43" t="s">
        <v>628</v>
      </c>
      <c r="E405" s="50"/>
      <c r="F405" s="212"/>
    </row>
    <row r="406" spans="1:6" ht="15" customHeight="1">
      <c r="A406" s="37" t="s">
        <v>660</v>
      </c>
      <c r="B406" s="32"/>
      <c r="C406" s="40">
        <v>3</v>
      </c>
      <c r="D406" s="43" t="s">
        <v>628</v>
      </c>
      <c r="E406" s="50"/>
      <c r="F406" s="212"/>
    </row>
    <row r="407" spans="1:6" ht="15" customHeight="1">
      <c r="A407" s="37" t="s">
        <v>661</v>
      </c>
      <c r="B407" s="32" t="s">
        <v>631</v>
      </c>
      <c r="C407" s="40">
        <v>6</v>
      </c>
      <c r="D407" s="43" t="s">
        <v>628</v>
      </c>
      <c r="E407" s="50"/>
      <c r="F407" s="212"/>
    </row>
    <row r="408" spans="1:6" ht="15" customHeight="1">
      <c r="A408" s="37" t="s">
        <v>662</v>
      </c>
      <c r="B408" s="32" t="s">
        <v>633</v>
      </c>
      <c r="C408" s="40">
        <v>6</v>
      </c>
      <c r="D408" s="43" t="s">
        <v>628</v>
      </c>
      <c r="E408" s="50"/>
      <c r="F408" s="212"/>
    </row>
    <row r="409" spans="1:6" ht="15" customHeight="1">
      <c r="A409" s="37" t="s">
        <v>663</v>
      </c>
      <c r="B409" s="32" t="s">
        <v>635</v>
      </c>
      <c r="C409" s="40">
        <v>7</v>
      </c>
      <c r="D409" s="43" t="s">
        <v>628</v>
      </c>
      <c r="E409" s="50"/>
      <c r="F409" s="212"/>
    </row>
    <row r="410" spans="1:6" ht="15" customHeight="1">
      <c r="A410" s="37" t="s">
        <v>664</v>
      </c>
      <c r="B410" s="32" t="s">
        <v>637</v>
      </c>
      <c r="C410" s="40">
        <v>7</v>
      </c>
      <c r="D410" s="43" t="s">
        <v>628</v>
      </c>
      <c r="E410" s="50"/>
      <c r="F410" s="212"/>
    </row>
    <row r="411" spans="1:6" ht="15" customHeight="1">
      <c r="A411" s="37" t="s">
        <v>665</v>
      </c>
      <c r="B411" s="32" t="s">
        <v>639</v>
      </c>
      <c r="C411" s="40">
        <v>2</v>
      </c>
      <c r="D411" s="43" t="s">
        <v>628</v>
      </c>
      <c r="E411" s="50"/>
      <c r="F411" s="212"/>
    </row>
    <row r="412" spans="1:6" ht="15" customHeight="1">
      <c r="A412" s="37" t="s">
        <v>666</v>
      </c>
      <c r="B412" s="32" t="s">
        <v>641</v>
      </c>
      <c r="C412" s="40">
        <v>2</v>
      </c>
      <c r="D412" s="43" t="s">
        <v>628</v>
      </c>
      <c r="E412" s="50"/>
      <c r="F412" s="212"/>
    </row>
    <row r="413" spans="1:6" ht="15" customHeight="1">
      <c r="A413" s="37" t="s">
        <v>667</v>
      </c>
      <c r="B413" s="32" t="s">
        <v>643</v>
      </c>
      <c r="C413" s="40">
        <v>3</v>
      </c>
      <c r="D413" s="43" t="s">
        <v>628</v>
      </c>
      <c r="E413" s="50"/>
      <c r="F413" s="212"/>
    </row>
    <row r="414" spans="1:6" ht="15" customHeight="1">
      <c r="A414" s="37" t="s">
        <v>668</v>
      </c>
      <c r="B414" s="32" t="s">
        <v>645</v>
      </c>
      <c r="C414" s="40">
        <v>7</v>
      </c>
      <c r="D414" s="43" t="s">
        <v>628</v>
      </c>
      <c r="E414" s="50"/>
      <c r="F414" s="212"/>
    </row>
    <row r="415" spans="1:6" ht="15" customHeight="1">
      <c r="A415" s="37" t="s">
        <v>669</v>
      </c>
      <c r="B415" s="32" t="s">
        <v>647</v>
      </c>
      <c r="C415" s="40">
        <v>2</v>
      </c>
      <c r="D415" s="43" t="s">
        <v>628</v>
      </c>
      <c r="E415" s="50"/>
      <c r="F415" s="212"/>
    </row>
    <row r="416" spans="1:6" ht="15" customHeight="1">
      <c r="A416" s="37" t="s">
        <v>670</v>
      </c>
      <c r="B416" s="32" t="s">
        <v>649</v>
      </c>
      <c r="C416" s="40">
        <v>1</v>
      </c>
      <c r="D416" s="43" t="s">
        <v>628</v>
      </c>
      <c r="E416" s="50"/>
      <c r="F416" s="212"/>
    </row>
    <row r="417" spans="1:6" ht="15" customHeight="1">
      <c r="A417" s="37" t="s">
        <v>671</v>
      </c>
      <c r="B417" s="32" t="s">
        <v>651</v>
      </c>
      <c r="C417" s="40">
        <v>1</v>
      </c>
      <c r="D417" s="43" t="s">
        <v>628</v>
      </c>
      <c r="E417" s="50"/>
      <c r="F417" s="212"/>
    </row>
    <row r="418" spans="1:6" ht="15" customHeight="1">
      <c r="A418" s="37" t="s">
        <v>672</v>
      </c>
      <c r="B418" s="32" t="s">
        <v>653</v>
      </c>
      <c r="C418" s="40">
        <v>6</v>
      </c>
      <c r="D418" s="43" t="s">
        <v>628</v>
      </c>
      <c r="E418" s="50"/>
      <c r="F418" s="212"/>
    </row>
    <row r="419" spans="1:6" ht="15" customHeight="1">
      <c r="A419" s="37" t="s">
        <v>673</v>
      </c>
      <c r="B419" s="32" t="s">
        <v>655</v>
      </c>
      <c r="C419" s="40">
        <v>1</v>
      </c>
      <c r="D419" s="43" t="s">
        <v>628</v>
      </c>
      <c r="E419" s="50"/>
      <c r="F419" s="212"/>
    </row>
    <row r="420" spans="1:6" ht="15" customHeight="1">
      <c r="A420" s="37" t="s">
        <v>674</v>
      </c>
      <c r="B420" s="32" t="s">
        <v>657</v>
      </c>
      <c r="C420" s="40">
        <v>1</v>
      </c>
      <c r="D420" s="43" t="s">
        <v>628</v>
      </c>
      <c r="E420" s="50"/>
      <c r="F420" s="212"/>
    </row>
    <row r="421" spans="1:6" ht="15" customHeight="1">
      <c r="A421" s="37"/>
      <c r="B421" s="32"/>
      <c r="C421" s="40"/>
      <c r="D421" s="43"/>
      <c r="E421" s="50"/>
      <c r="F421" s="212"/>
    </row>
    <row r="422" spans="1:6" customFormat="1" ht="15" customHeight="1">
      <c r="A422" s="37"/>
      <c r="B422" s="213" t="s">
        <v>675</v>
      </c>
      <c r="C422" s="40"/>
      <c r="D422" s="43"/>
      <c r="E422" s="50"/>
      <c r="F422" s="212"/>
    </row>
    <row r="423" spans="1:6" customFormat="1" ht="15" customHeight="1">
      <c r="A423" s="37"/>
      <c r="B423" s="32"/>
      <c r="C423" s="40"/>
      <c r="D423" s="43"/>
      <c r="E423" s="50"/>
      <c r="F423" s="212"/>
    </row>
    <row r="424" spans="1:6" ht="15" customHeight="1">
      <c r="A424" s="37" t="s">
        <v>676</v>
      </c>
      <c r="B424" s="49" t="s">
        <v>677</v>
      </c>
      <c r="C424" s="40"/>
      <c r="D424" s="231"/>
      <c r="E424" s="41"/>
      <c r="F424" s="83"/>
    </row>
    <row r="425" spans="1:6" ht="15" customHeight="1">
      <c r="A425" s="37"/>
      <c r="B425" s="32"/>
      <c r="C425" s="40"/>
      <c r="D425" s="231"/>
      <c r="E425" s="41"/>
      <c r="F425" s="83"/>
    </row>
    <row r="426" spans="1:6" ht="15" customHeight="1">
      <c r="A426" s="37" t="s">
        <v>678</v>
      </c>
      <c r="B426" s="42" t="s">
        <v>176</v>
      </c>
      <c r="C426" s="40"/>
      <c r="D426" s="37"/>
      <c r="E426" s="41"/>
      <c r="F426" s="83"/>
    </row>
    <row r="427" spans="1:6" ht="42" customHeight="1">
      <c r="A427" s="37" t="s">
        <v>679</v>
      </c>
      <c r="B427" s="32" t="s">
        <v>680</v>
      </c>
      <c r="C427" s="40">
        <v>1</v>
      </c>
      <c r="D427" s="43" t="s">
        <v>628</v>
      </c>
      <c r="E427" s="41"/>
      <c r="F427" s="83">
        <f>C427*E427</f>
        <v>0</v>
      </c>
    </row>
    <row r="428" spans="1:6" ht="39.950000000000003" customHeight="1">
      <c r="A428" s="37" t="s">
        <v>681</v>
      </c>
      <c r="B428" s="32" t="s">
        <v>682</v>
      </c>
      <c r="C428" s="40">
        <v>1</v>
      </c>
      <c r="D428" s="43" t="s">
        <v>628</v>
      </c>
      <c r="E428" s="41"/>
      <c r="F428" s="83"/>
    </row>
    <row r="429" spans="1:6" ht="38.1" customHeight="1">
      <c r="A429" s="37" t="s">
        <v>683</v>
      </c>
      <c r="B429" s="32" t="s">
        <v>684</v>
      </c>
      <c r="C429" s="40">
        <v>8</v>
      </c>
      <c r="D429" s="43" t="s">
        <v>628</v>
      </c>
      <c r="E429" s="41"/>
      <c r="F429" s="83"/>
    </row>
    <row r="430" spans="1:6" ht="38.1" customHeight="1">
      <c r="A430" s="37" t="s">
        <v>685</v>
      </c>
      <c r="B430" s="32" t="s">
        <v>686</v>
      </c>
      <c r="C430" s="40">
        <v>1</v>
      </c>
      <c r="D430" s="43" t="s">
        <v>628</v>
      </c>
      <c r="E430" s="41"/>
      <c r="F430" s="83"/>
    </row>
    <row r="431" spans="1:6" ht="36" customHeight="1">
      <c r="A431" s="37" t="s">
        <v>687</v>
      </c>
      <c r="B431" s="32" t="s">
        <v>688</v>
      </c>
      <c r="C431" s="40">
        <v>1</v>
      </c>
      <c r="D431" s="43" t="s">
        <v>628</v>
      </c>
      <c r="E431" s="41"/>
      <c r="F431" s="83"/>
    </row>
    <row r="432" spans="1:6" ht="15" customHeight="1">
      <c r="A432" s="37"/>
      <c r="B432" s="42"/>
      <c r="C432" s="40"/>
      <c r="D432" s="37"/>
      <c r="E432" s="41"/>
      <c r="F432" s="83"/>
    </row>
    <row r="433" spans="1:6" ht="15" customHeight="1">
      <c r="A433" s="37" t="s">
        <v>689</v>
      </c>
      <c r="B433" s="42" t="s">
        <v>179</v>
      </c>
      <c r="C433" s="40"/>
      <c r="D433" s="37"/>
      <c r="E433" s="41"/>
      <c r="F433" s="83"/>
    </row>
    <row r="434" spans="1:6" ht="48.95" customHeight="1">
      <c r="A434" s="37" t="s">
        <v>690</v>
      </c>
      <c r="B434" s="32" t="s">
        <v>691</v>
      </c>
      <c r="C434" s="40">
        <v>1</v>
      </c>
      <c r="D434" s="43" t="s">
        <v>628</v>
      </c>
      <c r="E434" s="41"/>
      <c r="F434" s="83">
        <f>C434*E434</f>
        <v>0</v>
      </c>
    </row>
    <row r="435" spans="1:6" ht="48.95" customHeight="1">
      <c r="A435" s="37" t="s">
        <v>692</v>
      </c>
      <c r="B435" s="32" t="s">
        <v>693</v>
      </c>
      <c r="C435" s="40">
        <v>1</v>
      </c>
      <c r="D435" s="43" t="s">
        <v>628</v>
      </c>
      <c r="E435" s="41"/>
      <c r="F435" s="83"/>
    </row>
    <row r="436" spans="1:6" ht="15" customHeight="1">
      <c r="A436" s="37"/>
      <c r="B436" s="42"/>
      <c r="C436" s="40"/>
      <c r="D436" s="37"/>
      <c r="E436" s="41"/>
      <c r="F436" s="83"/>
    </row>
    <row r="437" spans="1:6" ht="15" customHeight="1">
      <c r="A437" s="37" t="s">
        <v>694</v>
      </c>
      <c r="B437" s="42" t="s">
        <v>182</v>
      </c>
      <c r="C437" s="40"/>
      <c r="D437" s="37"/>
      <c r="E437" s="41"/>
      <c r="F437" s="83"/>
    </row>
    <row r="438" spans="1:6" ht="45.95" customHeight="1">
      <c r="A438" s="37" t="s">
        <v>695</v>
      </c>
      <c r="B438" s="32" t="s">
        <v>696</v>
      </c>
      <c r="C438" s="40">
        <v>1</v>
      </c>
      <c r="D438" s="43" t="s">
        <v>628</v>
      </c>
      <c r="E438" s="41"/>
      <c r="F438" s="83">
        <f>C438*E438</f>
        <v>0</v>
      </c>
    </row>
    <row r="439" spans="1:6" ht="42.95" customHeight="1">
      <c r="A439" s="37" t="s">
        <v>697</v>
      </c>
      <c r="B439" s="32" t="s">
        <v>698</v>
      </c>
      <c r="C439" s="40">
        <v>1</v>
      </c>
      <c r="D439" s="43" t="s">
        <v>699</v>
      </c>
      <c r="E439" s="41"/>
      <c r="F439" s="83"/>
    </row>
    <row r="440" spans="1:6" ht="15" customHeight="1">
      <c r="A440" s="37"/>
      <c r="B440" s="42"/>
      <c r="C440" s="40"/>
      <c r="D440" s="37"/>
      <c r="E440" s="41"/>
      <c r="F440" s="83"/>
    </row>
    <row r="441" spans="1:6" ht="15" customHeight="1">
      <c r="A441" s="37" t="s">
        <v>700</v>
      </c>
      <c r="B441" s="42" t="s">
        <v>701</v>
      </c>
      <c r="C441" s="40"/>
      <c r="D441" s="37"/>
      <c r="E441" s="41"/>
      <c r="F441" s="83"/>
    </row>
    <row r="442" spans="1:6" ht="42" customHeight="1">
      <c r="A442" s="37" t="s">
        <v>702</v>
      </c>
      <c r="B442" s="32" t="s">
        <v>703</v>
      </c>
      <c r="C442" s="40">
        <v>1</v>
      </c>
      <c r="D442" s="43" t="s">
        <v>628</v>
      </c>
      <c r="E442" s="41"/>
      <c r="F442" s="83">
        <f t="shared" ref="F442:F447" si="13">C442*E442</f>
        <v>0</v>
      </c>
    </row>
    <row r="443" spans="1:6" ht="18" customHeight="1">
      <c r="A443" s="37"/>
      <c r="B443" s="32"/>
      <c r="C443" s="40"/>
      <c r="D443" s="43"/>
      <c r="E443" s="41"/>
      <c r="F443" s="83"/>
    </row>
    <row r="444" spans="1:6" s="202" customFormat="1" ht="47.1" customHeight="1">
      <c r="A444" s="37" t="s">
        <v>704</v>
      </c>
      <c r="B444" s="32" t="s">
        <v>705</v>
      </c>
      <c r="C444" s="232"/>
      <c r="D444" s="233"/>
      <c r="E444" s="234"/>
      <c r="F444" s="235"/>
    </row>
    <row r="445" spans="1:6" s="202" customFormat="1" ht="15" customHeight="1">
      <c r="A445" s="37" t="s">
        <v>706</v>
      </c>
      <c r="B445" s="236" t="s">
        <v>707</v>
      </c>
      <c r="C445" s="40">
        <v>3</v>
      </c>
      <c r="D445" s="43" t="s">
        <v>628</v>
      </c>
      <c r="E445" s="234"/>
      <c r="F445" s="235">
        <f t="shared" si="13"/>
        <v>0</v>
      </c>
    </row>
    <row r="446" spans="1:6" s="202" customFormat="1" ht="15" customHeight="1">
      <c r="A446" s="37" t="s">
        <v>708</v>
      </c>
      <c r="B446" s="236" t="s">
        <v>709</v>
      </c>
      <c r="C446" s="40">
        <v>1</v>
      </c>
      <c r="D446" s="43" t="s">
        <v>628</v>
      </c>
      <c r="E446" s="234"/>
      <c r="F446" s="235">
        <f t="shared" si="13"/>
        <v>0</v>
      </c>
    </row>
    <row r="447" spans="1:6" s="202" customFormat="1" ht="15" customHeight="1">
      <c r="A447" s="37" t="s">
        <v>710</v>
      </c>
      <c r="B447" s="236" t="s">
        <v>711</v>
      </c>
      <c r="C447" s="40">
        <v>1</v>
      </c>
      <c r="D447" s="43" t="s">
        <v>628</v>
      </c>
      <c r="E447" s="234"/>
      <c r="F447" s="235">
        <f t="shared" si="13"/>
        <v>0</v>
      </c>
    </row>
    <row r="448" spans="1:6" s="202" customFormat="1" ht="15" customHeight="1">
      <c r="A448" s="37" t="s">
        <v>712</v>
      </c>
      <c r="B448" s="236" t="s">
        <v>713</v>
      </c>
      <c r="C448" s="40">
        <v>2</v>
      </c>
      <c r="D448" s="43" t="s">
        <v>628</v>
      </c>
      <c r="E448" s="234"/>
      <c r="F448" s="235">
        <f>C448*E448</f>
        <v>0</v>
      </c>
    </row>
    <row r="449" spans="1:6" s="202" customFormat="1" ht="15" customHeight="1">
      <c r="A449" s="37" t="s">
        <v>714</v>
      </c>
      <c r="B449" s="236" t="s">
        <v>715</v>
      </c>
      <c r="C449" s="40">
        <v>2</v>
      </c>
      <c r="D449" s="43" t="s">
        <v>628</v>
      </c>
      <c r="E449" s="234"/>
      <c r="F449" s="235">
        <f>C449*E449</f>
        <v>0</v>
      </c>
    </row>
    <row r="450" spans="1:6" ht="15" customHeight="1">
      <c r="A450" s="37"/>
      <c r="B450" s="42"/>
      <c r="C450" s="40"/>
      <c r="D450" s="37"/>
      <c r="E450" s="41"/>
      <c r="F450" s="83"/>
    </row>
    <row r="451" spans="1:6" ht="15" customHeight="1">
      <c r="A451" s="37" t="s">
        <v>716</v>
      </c>
      <c r="B451" s="49" t="s">
        <v>717</v>
      </c>
      <c r="C451" s="40"/>
      <c r="D451" s="231"/>
      <c r="E451" s="41"/>
      <c r="F451" s="83"/>
    </row>
    <row r="452" spans="1:6" ht="15" customHeight="1">
      <c r="A452" s="37"/>
      <c r="B452" s="49"/>
      <c r="C452" s="40"/>
      <c r="D452" s="231"/>
      <c r="E452" s="41"/>
      <c r="F452" s="83"/>
    </row>
    <row r="453" spans="1:6" ht="15" customHeight="1">
      <c r="A453" s="37"/>
      <c r="B453" s="49"/>
      <c r="C453" s="40"/>
      <c r="D453" s="231"/>
      <c r="E453" s="41"/>
      <c r="F453" s="83"/>
    </row>
    <row r="454" spans="1:6" ht="15" customHeight="1">
      <c r="A454" s="37" t="s">
        <v>718</v>
      </c>
      <c r="B454" s="42" t="s">
        <v>196</v>
      </c>
      <c r="C454" s="40"/>
      <c r="D454" s="37"/>
      <c r="E454" s="41"/>
      <c r="F454" s="83"/>
    </row>
    <row r="455" spans="1:6" ht="62.1" customHeight="1">
      <c r="A455" s="37" t="s">
        <v>719</v>
      </c>
      <c r="B455" s="32" t="s">
        <v>720</v>
      </c>
      <c r="C455" s="40">
        <v>1</v>
      </c>
      <c r="D455" s="43" t="s">
        <v>628</v>
      </c>
      <c r="E455" s="41"/>
      <c r="F455" s="83">
        <f>C455*E455</f>
        <v>0</v>
      </c>
    </row>
    <row r="456" spans="1:6" ht="15" customHeight="1">
      <c r="A456" s="37"/>
      <c r="B456" s="42"/>
      <c r="C456" s="40"/>
      <c r="D456" s="37"/>
      <c r="E456" s="41"/>
      <c r="F456" s="83"/>
    </row>
    <row r="457" spans="1:6" ht="15" customHeight="1">
      <c r="A457" s="37" t="s">
        <v>721</v>
      </c>
      <c r="B457" s="49" t="s">
        <v>722</v>
      </c>
      <c r="C457" s="40"/>
      <c r="D457" s="231"/>
      <c r="E457" s="41"/>
      <c r="F457" s="83"/>
    </row>
    <row r="458" spans="1:6" ht="15" customHeight="1">
      <c r="A458" s="37"/>
      <c r="B458" s="49"/>
      <c r="C458" s="40"/>
      <c r="D458" s="231"/>
      <c r="E458" s="41"/>
      <c r="F458" s="83"/>
    </row>
    <row r="459" spans="1:6" ht="15" customHeight="1">
      <c r="A459" s="37" t="s">
        <v>723</v>
      </c>
      <c r="B459" s="42" t="s">
        <v>724</v>
      </c>
      <c r="C459" s="40"/>
      <c r="D459" s="37"/>
      <c r="E459" s="41"/>
      <c r="F459" s="83"/>
    </row>
    <row r="460" spans="1:6" ht="42" customHeight="1">
      <c r="A460" s="37" t="s">
        <v>725</v>
      </c>
      <c r="B460" s="32" t="s">
        <v>726</v>
      </c>
      <c r="C460" s="40">
        <v>2</v>
      </c>
      <c r="D460" s="43" t="s">
        <v>628</v>
      </c>
      <c r="E460" s="41"/>
      <c r="F460" s="83">
        <f>C460*E460</f>
        <v>0</v>
      </c>
    </row>
    <row r="461" spans="1:6" ht="15" customHeight="1">
      <c r="A461" s="37"/>
      <c r="B461" s="42"/>
      <c r="C461" s="40"/>
      <c r="D461" s="37"/>
      <c r="E461" s="41"/>
      <c r="F461" s="83"/>
    </row>
    <row r="462" spans="1:6" ht="15" customHeight="1">
      <c r="A462" s="37" t="s">
        <v>727</v>
      </c>
      <c r="B462" s="49" t="s">
        <v>728</v>
      </c>
      <c r="C462" s="40"/>
      <c r="D462" s="231"/>
      <c r="E462" s="41"/>
      <c r="F462" s="83"/>
    </row>
    <row r="463" spans="1:6" ht="15" customHeight="1">
      <c r="A463" s="37"/>
      <c r="B463" s="49"/>
      <c r="C463" s="40"/>
      <c r="D463" s="231"/>
      <c r="E463" s="41"/>
      <c r="F463" s="83"/>
    </row>
    <row r="464" spans="1:6" ht="48.95" customHeight="1">
      <c r="A464" s="37" t="s">
        <v>729</v>
      </c>
      <c r="B464" s="32" t="s">
        <v>705</v>
      </c>
      <c r="C464" s="40"/>
      <c r="D464" s="37"/>
      <c r="E464" s="41"/>
      <c r="F464" s="83"/>
    </row>
    <row r="465" spans="1:6" ht="15" customHeight="1">
      <c r="A465" s="37" t="s">
        <v>730</v>
      </c>
      <c r="B465" s="32" t="s">
        <v>731</v>
      </c>
      <c r="C465" s="40">
        <v>1</v>
      </c>
      <c r="D465" s="43" t="s">
        <v>628</v>
      </c>
      <c r="E465" s="41"/>
      <c r="F465" s="83">
        <f>C465*E465</f>
        <v>0</v>
      </c>
    </row>
    <row r="466" spans="1:6" ht="15" customHeight="1">
      <c r="A466" s="37" t="s">
        <v>732</v>
      </c>
      <c r="B466" s="32" t="s">
        <v>733</v>
      </c>
      <c r="C466" s="40">
        <v>1</v>
      </c>
      <c r="D466" s="43" t="s">
        <v>628</v>
      </c>
      <c r="E466" s="41"/>
      <c r="F466" s="83">
        <f>C466*E466</f>
        <v>0</v>
      </c>
    </row>
    <row r="467" spans="1:6" ht="15" customHeight="1">
      <c r="A467" s="37" t="s">
        <v>734</v>
      </c>
      <c r="B467" s="32" t="s">
        <v>735</v>
      </c>
      <c r="C467" s="40">
        <v>1</v>
      </c>
      <c r="D467" s="43" t="s">
        <v>628</v>
      </c>
      <c r="E467" s="41"/>
      <c r="F467" s="83">
        <f>C467*E467</f>
        <v>0</v>
      </c>
    </row>
    <row r="468" spans="1:6" ht="15" customHeight="1">
      <c r="A468" s="37" t="s">
        <v>736</v>
      </c>
      <c r="B468" s="32" t="s">
        <v>737</v>
      </c>
      <c r="C468" s="40">
        <v>1</v>
      </c>
      <c r="D468" s="43" t="s">
        <v>628</v>
      </c>
      <c r="E468" s="41"/>
      <c r="F468" s="83">
        <f>C468*E468</f>
        <v>0</v>
      </c>
    </row>
    <row r="469" spans="1:6" ht="15" customHeight="1">
      <c r="A469" s="37" t="s">
        <v>738</v>
      </c>
      <c r="B469" s="32" t="s">
        <v>739</v>
      </c>
      <c r="C469" s="40">
        <v>1</v>
      </c>
      <c r="D469" s="43" t="s">
        <v>628</v>
      </c>
      <c r="E469" s="41"/>
      <c r="F469" s="83">
        <f>C469*E469</f>
        <v>0</v>
      </c>
    </row>
    <row r="470" spans="1:6" ht="15" customHeight="1">
      <c r="A470" s="37" t="s">
        <v>740</v>
      </c>
      <c r="B470" s="32" t="s">
        <v>741</v>
      </c>
      <c r="C470" s="40">
        <v>1</v>
      </c>
      <c r="D470" s="43" t="s">
        <v>628</v>
      </c>
      <c r="E470" s="41"/>
      <c r="F470" s="83"/>
    </row>
    <row r="471" spans="1:6" ht="15" customHeight="1">
      <c r="A471" s="37" t="s">
        <v>742</v>
      </c>
      <c r="B471" s="32" t="s">
        <v>743</v>
      </c>
      <c r="C471" s="40">
        <v>1</v>
      </c>
      <c r="D471" s="43" t="s">
        <v>628</v>
      </c>
      <c r="E471" s="41"/>
      <c r="F471" s="83">
        <f>C471*E471</f>
        <v>0</v>
      </c>
    </row>
    <row r="472" spans="1:6" ht="15" customHeight="1">
      <c r="A472" s="37" t="s">
        <v>744</v>
      </c>
      <c r="B472" s="32" t="s">
        <v>745</v>
      </c>
      <c r="C472" s="40">
        <v>1</v>
      </c>
      <c r="D472" s="43" t="s">
        <v>628</v>
      </c>
      <c r="E472" s="41"/>
      <c r="F472" s="83">
        <f>C472*E472</f>
        <v>0</v>
      </c>
    </row>
    <row r="473" spans="1:6" ht="15" customHeight="1">
      <c r="A473" s="37" t="s">
        <v>746</v>
      </c>
      <c r="B473" s="32" t="s">
        <v>747</v>
      </c>
      <c r="C473" s="40">
        <v>1</v>
      </c>
      <c r="D473" s="43" t="s">
        <v>628</v>
      </c>
      <c r="E473" s="41"/>
      <c r="F473" s="83">
        <f>C473*E473</f>
        <v>0</v>
      </c>
    </row>
    <row r="474" spans="1:6" ht="15" customHeight="1">
      <c r="A474" s="37" t="s">
        <v>748</v>
      </c>
      <c r="B474" s="32" t="s">
        <v>749</v>
      </c>
      <c r="C474" s="40">
        <v>1</v>
      </c>
      <c r="D474" s="43" t="s">
        <v>628</v>
      </c>
      <c r="E474" s="41"/>
      <c r="F474" s="83">
        <f>C474*E474</f>
        <v>0</v>
      </c>
    </row>
    <row r="475" spans="1:6" ht="15" customHeight="1">
      <c r="A475" s="37"/>
      <c r="B475" s="32"/>
      <c r="C475" s="40"/>
      <c r="D475" s="43"/>
      <c r="E475" s="41"/>
      <c r="F475" s="83"/>
    </row>
    <row r="476" spans="1:6" ht="15" customHeight="1">
      <c r="A476" s="37"/>
      <c r="B476" s="32"/>
      <c r="C476" s="40"/>
      <c r="D476" s="43"/>
      <c r="E476" s="41"/>
      <c r="F476" s="83"/>
    </row>
    <row r="477" spans="1:6" ht="54" customHeight="1">
      <c r="A477" s="37" t="s">
        <v>750</v>
      </c>
      <c r="B477" s="32" t="s">
        <v>751</v>
      </c>
      <c r="C477" s="40"/>
      <c r="D477" s="43"/>
      <c r="E477" s="41"/>
      <c r="F477" s="83"/>
    </row>
    <row r="478" spans="1:6" ht="15" customHeight="1">
      <c r="A478" s="37" t="s">
        <v>752</v>
      </c>
      <c r="B478" s="32" t="s">
        <v>229</v>
      </c>
      <c r="C478" s="40">
        <v>1</v>
      </c>
      <c r="D478" s="43" t="s">
        <v>699</v>
      </c>
      <c r="E478" s="41"/>
      <c r="F478" s="83">
        <f>C478*E478</f>
        <v>0</v>
      </c>
    </row>
    <row r="479" spans="1:6" ht="15" customHeight="1">
      <c r="A479" s="37"/>
      <c r="B479" s="49"/>
      <c r="C479" s="40"/>
      <c r="D479" s="231"/>
      <c r="E479" s="41"/>
      <c r="F479" s="83"/>
    </row>
    <row r="480" spans="1:6" ht="15" customHeight="1">
      <c r="A480" s="37" t="s">
        <v>753</v>
      </c>
      <c r="B480" s="42" t="s">
        <v>231</v>
      </c>
      <c r="C480" s="40"/>
      <c r="D480" s="37"/>
      <c r="E480" s="41"/>
      <c r="F480" s="83"/>
    </row>
    <row r="481" spans="1:6" ht="48.95" customHeight="1">
      <c r="A481" s="37" t="s">
        <v>754</v>
      </c>
      <c r="B481" s="32" t="s">
        <v>686</v>
      </c>
      <c r="C481" s="40">
        <v>1</v>
      </c>
      <c r="D481" s="43" t="s">
        <v>628</v>
      </c>
      <c r="E481" s="41"/>
      <c r="F481" s="83">
        <f>C481*E481</f>
        <v>0</v>
      </c>
    </row>
    <row r="482" spans="1:6" ht="30.95" customHeight="1">
      <c r="A482" s="37" t="s">
        <v>755</v>
      </c>
      <c r="B482" s="32" t="s">
        <v>756</v>
      </c>
      <c r="C482" s="40">
        <v>1</v>
      </c>
      <c r="D482" s="43" t="s">
        <v>628</v>
      </c>
      <c r="E482" s="41"/>
      <c r="F482" s="83"/>
    </row>
    <row r="483" spans="1:6" ht="30.95" customHeight="1">
      <c r="A483" s="37" t="s">
        <v>755</v>
      </c>
      <c r="B483" s="32" t="s">
        <v>757</v>
      </c>
      <c r="C483" s="40">
        <v>1</v>
      </c>
      <c r="D483" s="43" t="s">
        <v>628</v>
      </c>
      <c r="E483" s="41"/>
      <c r="F483" s="83"/>
    </row>
    <row r="484" spans="1:6" ht="12.95" customHeight="1">
      <c r="A484" s="37"/>
      <c r="B484" s="32"/>
      <c r="C484" s="40"/>
      <c r="D484" s="43"/>
      <c r="E484" s="41"/>
      <c r="F484" s="83"/>
    </row>
    <row r="485" spans="1:6" ht="15" customHeight="1">
      <c r="A485" s="37" t="s">
        <v>758</v>
      </c>
      <c r="B485" s="42" t="s">
        <v>234</v>
      </c>
      <c r="C485" s="40"/>
      <c r="D485" s="37"/>
      <c r="E485" s="41"/>
      <c r="F485" s="83"/>
    </row>
    <row r="486" spans="1:6" ht="41.1" customHeight="1">
      <c r="A486" s="37" t="s">
        <v>759</v>
      </c>
      <c r="B486" s="32" t="s">
        <v>760</v>
      </c>
      <c r="C486" s="40">
        <v>1</v>
      </c>
      <c r="D486" s="43" t="s">
        <v>628</v>
      </c>
      <c r="E486" s="41"/>
      <c r="F486" s="83">
        <f>C486*E486</f>
        <v>0</v>
      </c>
    </row>
    <row r="487" spans="1:6" ht="57.95" customHeight="1">
      <c r="A487" s="37" t="s">
        <v>761</v>
      </c>
      <c r="B487" s="32" t="s">
        <v>762</v>
      </c>
      <c r="C487" s="40">
        <v>1</v>
      </c>
      <c r="D487" s="43" t="s">
        <v>628</v>
      </c>
      <c r="E487" s="41"/>
      <c r="F487" s="83"/>
    </row>
    <row r="488" spans="1:6" ht="18.95" customHeight="1">
      <c r="A488" s="44"/>
      <c r="B488" s="45"/>
      <c r="C488" s="46"/>
      <c r="D488" s="44"/>
      <c r="E488" s="47"/>
      <c r="F488" s="107"/>
    </row>
    <row r="489" spans="1:6" ht="15" customHeight="1">
      <c r="A489" s="37" t="s">
        <v>763</v>
      </c>
      <c r="B489" s="49" t="s">
        <v>764</v>
      </c>
      <c r="C489" s="40"/>
      <c r="D489" s="231"/>
      <c r="E489" s="41"/>
      <c r="F489" s="83"/>
    </row>
    <row r="490" spans="1:6" ht="15" customHeight="1">
      <c r="A490" s="37"/>
      <c r="B490" s="49"/>
      <c r="C490" s="40"/>
      <c r="D490" s="231"/>
      <c r="E490" s="41"/>
      <c r="F490" s="83"/>
    </row>
    <row r="491" spans="1:6" ht="44.1" customHeight="1">
      <c r="A491" s="37" t="s">
        <v>765</v>
      </c>
      <c r="B491" s="32" t="s">
        <v>766</v>
      </c>
      <c r="C491" s="40"/>
      <c r="D491" s="37"/>
      <c r="E491" s="41"/>
      <c r="F491" s="83"/>
    </row>
    <row r="492" spans="1:6" ht="26.1" customHeight="1">
      <c r="A492" s="37" t="s">
        <v>767</v>
      </c>
      <c r="B492" s="32" t="s">
        <v>240</v>
      </c>
      <c r="C492" s="40">
        <f>3.3*2</f>
        <v>6.6</v>
      </c>
      <c r="D492" s="43" t="s">
        <v>411</v>
      </c>
      <c r="E492" s="41"/>
      <c r="F492" s="83">
        <f t="shared" ref="F492:F497" si="14">C492*E492</f>
        <v>0</v>
      </c>
    </row>
    <row r="493" spans="1:6" ht="26.1" customHeight="1">
      <c r="A493" s="37" t="s">
        <v>768</v>
      </c>
      <c r="B493" s="32" t="s">
        <v>242</v>
      </c>
      <c r="C493" s="40">
        <f>1.5*2</f>
        <v>3</v>
      </c>
      <c r="D493" s="43" t="s">
        <v>411</v>
      </c>
      <c r="E493" s="41"/>
      <c r="F493" s="83">
        <f t="shared" si="14"/>
        <v>0</v>
      </c>
    </row>
    <row r="494" spans="1:6" ht="17.100000000000001" customHeight="1">
      <c r="A494" s="37"/>
      <c r="B494" s="32"/>
      <c r="C494" s="40"/>
      <c r="D494" s="37"/>
      <c r="E494" s="41"/>
      <c r="F494" s="83"/>
    </row>
    <row r="495" spans="1:6" ht="44.1" customHeight="1">
      <c r="A495" s="37" t="s">
        <v>769</v>
      </c>
      <c r="B495" s="32" t="s">
        <v>705</v>
      </c>
      <c r="C495" s="40"/>
      <c r="D495" s="37"/>
      <c r="E495" s="41"/>
      <c r="F495" s="83"/>
    </row>
    <row r="496" spans="1:6" ht="26.1" customHeight="1">
      <c r="A496" s="37" t="s">
        <v>770</v>
      </c>
      <c r="B496" s="32" t="s">
        <v>771</v>
      </c>
      <c r="C496" s="40">
        <v>2</v>
      </c>
      <c r="D496" s="43" t="s">
        <v>628</v>
      </c>
      <c r="E496" s="41"/>
      <c r="F496" s="83">
        <f t="shared" si="14"/>
        <v>0</v>
      </c>
    </row>
    <row r="497" spans="1:6" ht="26.1" customHeight="1">
      <c r="A497" s="37" t="s">
        <v>772</v>
      </c>
      <c r="B497" s="32" t="s">
        <v>773</v>
      </c>
      <c r="C497" s="40">
        <v>2</v>
      </c>
      <c r="D497" s="43" t="s">
        <v>628</v>
      </c>
      <c r="E497" s="41"/>
      <c r="F497" s="83">
        <f t="shared" si="14"/>
        <v>0</v>
      </c>
    </row>
    <row r="498" spans="1:6" ht="26.1" customHeight="1">
      <c r="A498" s="37"/>
      <c r="B498" s="32"/>
      <c r="C498" s="40"/>
      <c r="D498" s="37"/>
      <c r="E498" s="41"/>
      <c r="F498" s="83"/>
    </row>
    <row r="499" spans="1:6" s="202" customFormat="1" ht="26.1" customHeight="1">
      <c r="A499" s="37" t="s">
        <v>774</v>
      </c>
      <c r="B499" s="237" t="s">
        <v>775</v>
      </c>
      <c r="C499" s="232"/>
      <c r="D499" s="238"/>
      <c r="E499" s="234"/>
      <c r="F499" s="235"/>
    </row>
    <row r="500" spans="1:6" s="202" customFormat="1" ht="18.95" customHeight="1">
      <c r="A500" s="233"/>
      <c r="B500" s="237"/>
      <c r="C500" s="232"/>
      <c r="D500" s="238"/>
      <c r="E500" s="234"/>
      <c r="F500" s="235"/>
    </row>
    <row r="501" spans="1:6" s="202" customFormat="1" ht="39.950000000000003" customHeight="1">
      <c r="A501" s="37" t="s">
        <v>776</v>
      </c>
      <c r="B501" s="236" t="s">
        <v>682</v>
      </c>
      <c r="C501" s="40">
        <v>1</v>
      </c>
      <c r="D501" s="43" t="s">
        <v>628</v>
      </c>
      <c r="E501" s="234"/>
      <c r="F501" s="235"/>
    </row>
    <row r="502" spans="1:6" ht="26.1" customHeight="1">
      <c r="A502" s="37"/>
      <c r="B502" s="32"/>
      <c r="C502" s="40"/>
      <c r="D502" s="37"/>
      <c r="E502" s="41"/>
      <c r="F502" s="83"/>
    </row>
    <row r="503" spans="1:6" ht="15" customHeight="1">
      <c r="A503" s="37" t="s">
        <v>777</v>
      </c>
      <c r="B503" s="49" t="s">
        <v>778</v>
      </c>
      <c r="C503" s="40"/>
      <c r="D503" s="231"/>
      <c r="E503" s="41"/>
      <c r="F503" s="83"/>
    </row>
    <row r="504" spans="1:6" ht="15" customHeight="1">
      <c r="A504" s="37"/>
      <c r="B504" s="32"/>
      <c r="C504" s="40"/>
      <c r="D504" s="231"/>
      <c r="E504" s="41"/>
      <c r="F504" s="83"/>
    </row>
    <row r="505" spans="1:6" ht="15" customHeight="1">
      <c r="A505" s="37" t="s">
        <v>779</v>
      </c>
      <c r="B505" s="42" t="s">
        <v>252</v>
      </c>
      <c r="C505" s="40"/>
      <c r="D505" s="37"/>
      <c r="E505" s="41"/>
      <c r="F505" s="83"/>
    </row>
    <row r="506" spans="1:6" ht="42" customHeight="1">
      <c r="A506" s="37" t="s">
        <v>780</v>
      </c>
      <c r="B506" s="32" t="s">
        <v>680</v>
      </c>
      <c r="C506" s="40">
        <v>1</v>
      </c>
      <c r="D506" s="43" t="s">
        <v>628</v>
      </c>
      <c r="E506" s="41"/>
      <c r="F506" s="83">
        <f>C506*E506</f>
        <v>0</v>
      </c>
    </row>
    <row r="507" spans="1:6" ht="39" customHeight="1">
      <c r="A507" s="37" t="s">
        <v>781</v>
      </c>
      <c r="B507" s="32" t="s">
        <v>682</v>
      </c>
      <c r="C507" s="40">
        <v>1</v>
      </c>
      <c r="D507" s="43" t="s">
        <v>628</v>
      </c>
      <c r="E507" s="41"/>
      <c r="F507" s="83"/>
    </row>
    <row r="508" spans="1:6" ht="39" customHeight="1">
      <c r="A508" s="37" t="s">
        <v>782</v>
      </c>
      <c r="B508" s="32" t="s">
        <v>684</v>
      </c>
      <c r="C508" s="40">
        <v>6</v>
      </c>
      <c r="D508" s="43" t="s">
        <v>628</v>
      </c>
      <c r="E508" s="41"/>
      <c r="F508" s="83"/>
    </row>
    <row r="509" spans="1:6" ht="38.1" customHeight="1">
      <c r="A509" s="37" t="s">
        <v>783</v>
      </c>
      <c r="B509" s="32" t="s">
        <v>784</v>
      </c>
      <c r="C509" s="40">
        <v>2</v>
      </c>
      <c r="D509" s="43" t="s">
        <v>628</v>
      </c>
      <c r="E509" s="41"/>
      <c r="F509" s="83"/>
    </row>
    <row r="510" spans="1:6" ht="38.1" customHeight="1">
      <c r="A510" s="37" t="s">
        <v>785</v>
      </c>
      <c r="B510" s="32" t="s">
        <v>786</v>
      </c>
      <c r="C510" s="40">
        <v>1</v>
      </c>
      <c r="D510" s="43" t="s">
        <v>628</v>
      </c>
      <c r="E510" s="41"/>
      <c r="F510" s="83"/>
    </row>
    <row r="511" spans="1:6" ht="15" customHeight="1">
      <c r="A511" s="37"/>
      <c r="B511" s="42"/>
      <c r="C511" s="40"/>
      <c r="D511" s="37"/>
      <c r="E511" s="41"/>
      <c r="F511" s="83"/>
    </row>
    <row r="512" spans="1:6" ht="15" customHeight="1">
      <c r="A512" s="37"/>
      <c r="B512" s="42"/>
      <c r="C512" s="40"/>
      <c r="D512" s="37"/>
      <c r="E512" s="41"/>
      <c r="F512" s="83"/>
    </row>
    <row r="513" spans="1:6" ht="15" customHeight="1">
      <c r="A513" s="37" t="s">
        <v>787</v>
      </c>
      <c r="B513" s="42" t="s">
        <v>254</v>
      </c>
      <c r="C513" s="40"/>
      <c r="D513" s="37"/>
      <c r="E513" s="41"/>
      <c r="F513" s="83"/>
    </row>
    <row r="514" spans="1:6" ht="57" customHeight="1">
      <c r="A514" s="37" t="s">
        <v>788</v>
      </c>
      <c r="B514" s="32" t="s">
        <v>789</v>
      </c>
      <c r="C514" s="40">
        <v>1</v>
      </c>
      <c r="D514" s="43" t="s">
        <v>628</v>
      </c>
      <c r="E514" s="41"/>
      <c r="F514" s="83">
        <f>C514*E514</f>
        <v>0</v>
      </c>
    </row>
    <row r="515" spans="1:6" ht="18.95" customHeight="1">
      <c r="A515" s="37"/>
      <c r="B515" s="32"/>
      <c r="C515" s="40"/>
      <c r="D515" s="37"/>
      <c r="E515" s="41"/>
      <c r="F515" s="83"/>
    </row>
    <row r="516" spans="1:6" ht="15" customHeight="1">
      <c r="A516" s="37" t="s">
        <v>790</v>
      </c>
      <c r="B516" s="42" t="s">
        <v>257</v>
      </c>
      <c r="C516" s="40"/>
      <c r="D516" s="37"/>
      <c r="E516" s="41"/>
      <c r="F516" s="83"/>
    </row>
    <row r="517" spans="1:6" ht="42.95" customHeight="1">
      <c r="A517" s="37" t="s">
        <v>791</v>
      </c>
      <c r="B517" s="32" t="s">
        <v>792</v>
      </c>
      <c r="C517" s="40">
        <v>1</v>
      </c>
      <c r="D517" s="43" t="s">
        <v>628</v>
      </c>
      <c r="E517" s="41"/>
      <c r="F517" s="83">
        <f>C517*E517</f>
        <v>0</v>
      </c>
    </row>
    <row r="518" spans="1:6" ht="15" customHeight="1">
      <c r="A518" s="37"/>
      <c r="B518" s="42"/>
      <c r="C518" s="40"/>
      <c r="D518" s="37"/>
      <c r="E518" s="41"/>
      <c r="F518" s="83"/>
    </row>
    <row r="519" spans="1:6" ht="45.95" customHeight="1">
      <c r="A519" s="37" t="s">
        <v>793</v>
      </c>
      <c r="B519" s="32" t="s">
        <v>705</v>
      </c>
      <c r="C519" s="40"/>
      <c r="D519" s="43"/>
      <c r="E519" s="41"/>
      <c r="F519" s="83"/>
    </row>
    <row r="520" spans="1:6" ht="26.1" customHeight="1">
      <c r="A520" s="37" t="s">
        <v>794</v>
      </c>
      <c r="B520" s="32" t="s">
        <v>795</v>
      </c>
      <c r="C520" s="40">
        <v>1</v>
      </c>
      <c r="D520" s="43" t="s">
        <v>628</v>
      </c>
      <c r="E520" s="41"/>
      <c r="F520" s="83">
        <f>C520*E520</f>
        <v>0</v>
      </c>
    </row>
    <row r="521" spans="1:6" ht="26.1" customHeight="1">
      <c r="A521" s="37" t="s">
        <v>796</v>
      </c>
      <c r="B521" s="32" t="s">
        <v>797</v>
      </c>
      <c r="C521" s="40">
        <v>1</v>
      </c>
      <c r="D521" s="43" t="s">
        <v>628</v>
      </c>
      <c r="E521" s="41"/>
      <c r="F521" s="83">
        <f>C521*E521</f>
        <v>0</v>
      </c>
    </row>
    <row r="522" spans="1:6" ht="26.1" customHeight="1">
      <c r="A522" s="37" t="s">
        <v>798</v>
      </c>
      <c r="B522" s="32" t="s">
        <v>799</v>
      </c>
      <c r="C522" s="40">
        <v>2</v>
      </c>
      <c r="D522" s="43" t="s">
        <v>628</v>
      </c>
      <c r="E522" s="41"/>
      <c r="F522" s="83">
        <f>C522*E522</f>
        <v>0</v>
      </c>
    </row>
    <row r="523" spans="1:6" ht="26.1" customHeight="1">
      <c r="A523" s="37" t="s">
        <v>800</v>
      </c>
      <c r="B523" s="32" t="s">
        <v>801</v>
      </c>
      <c r="C523" s="40">
        <v>1</v>
      </c>
      <c r="D523" s="43" t="s">
        <v>628</v>
      </c>
      <c r="E523" s="41"/>
      <c r="F523" s="83"/>
    </row>
    <row r="524" spans="1:6" ht="26.1" customHeight="1">
      <c r="A524" s="37" t="s">
        <v>802</v>
      </c>
      <c r="B524" s="32" t="s">
        <v>803</v>
      </c>
      <c r="C524" s="40">
        <v>1</v>
      </c>
      <c r="D524" s="43" t="s">
        <v>628</v>
      </c>
      <c r="E524" s="41"/>
      <c r="F524" s="83"/>
    </row>
    <row r="525" spans="1:6" ht="26.1" customHeight="1">
      <c r="A525" s="37" t="s">
        <v>804</v>
      </c>
      <c r="B525" s="32" t="s">
        <v>805</v>
      </c>
      <c r="C525" s="40">
        <v>1</v>
      </c>
      <c r="D525" s="43" t="s">
        <v>628</v>
      </c>
      <c r="E525" s="41"/>
      <c r="F525" s="83">
        <f>C525*E525</f>
        <v>0</v>
      </c>
    </row>
    <row r="526" spans="1:6" ht="26.1" customHeight="1">
      <c r="A526" s="37" t="s">
        <v>806</v>
      </c>
      <c r="B526" s="32" t="s">
        <v>807</v>
      </c>
      <c r="C526" s="40">
        <v>1</v>
      </c>
      <c r="D526" s="43" t="s">
        <v>628</v>
      </c>
      <c r="E526" s="41"/>
      <c r="F526" s="83">
        <f>C526*E526</f>
        <v>0</v>
      </c>
    </row>
    <row r="527" spans="1:6" ht="26.1" customHeight="1">
      <c r="A527" s="37"/>
      <c r="B527" s="32"/>
      <c r="C527" s="40"/>
      <c r="D527" s="37"/>
      <c r="E527" s="41"/>
      <c r="F527" s="83"/>
    </row>
    <row r="528" spans="1:6" ht="15" customHeight="1">
      <c r="A528" s="37" t="s">
        <v>808</v>
      </c>
      <c r="B528" s="49" t="s">
        <v>809</v>
      </c>
      <c r="C528" s="40"/>
      <c r="D528" s="231"/>
      <c r="E528" s="41"/>
      <c r="F528" s="83"/>
    </row>
    <row r="529" spans="1:6" ht="15" customHeight="1">
      <c r="A529" s="37"/>
      <c r="B529" s="49"/>
      <c r="C529" s="40"/>
      <c r="D529" s="231"/>
      <c r="E529" s="41"/>
      <c r="F529" s="83"/>
    </row>
    <row r="530" spans="1:6" ht="26.1" customHeight="1">
      <c r="A530" s="37" t="s">
        <v>810</v>
      </c>
      <c r="B530" s="42" t="s">
        <v>282</v>
      </c>
      <c r="C530" s="40"/>
      <c r="D530" s="37"/>
      <c r="E530" s="41"/>
      <c r="F530" s="83"/>
    </row>
    <row r="531" spans="1:6" ht="57" customHeight="1">
      <c r="A531" s="37" t="s">
        <v>811</v>
      </c>
      <c r="B531" s="32" t="s">
        <v>720</v>
      </c>
      <c r="C531" s="40">
        <v>1</v>
      </c>
      <c r="D531" s="43" t="s">
        <v>628</v>
      </c>
      <c r="E531" s="41"/>
      <c r="F531" s="83">
        <f>C531*E531</f>
        <v>0</v>
      </c>
    </row>
    <row r="532" spans="1:6" ht="18.95" customHeight="1">
      <c r="A532" s="37"/>
      <c r="B532" s="32"/>
      <c r="C532" s="40"/>
      <c r="D532" s="37"/>
      <c r="E532" s="41"/>
      <c r="F532" s="83"/>
    </row>
    <row r="533" spans="1:6" ht="26.1" customHeight="1">
      <c r="A533" s="37" t="s">
        <v>812</v>
      </c>
      <c r="B533" s="42" t="s">
        <v>284</v>
      </c>
      <c r="C533" s="40"/>
      <c r="D533" s="37"/>
      <c r="E533" s="41"/>
      <c r="F533" s="83"/>
    </row>
    <row r="534" spans="1:6" ht="44.1" customHeight="1">
      <c r="A534" s="37" t="s">
        <v>813</v>
      </c>
      <c r="B534" s="32" t="s">
        <v>814</v>
      </c>
      <c r="C534" s="40">
        <v>1</v>
      </c>
      <c r="D534" s="43" t="s">
        <v>628</v>
      </c>
      <c r="E534" s="41"/>
      <c r="F534" s="83">
        <f>C534*E534</f>
        <v>0</v>
      </c>
    </row>
    <row r="535" spans="1:6" ht="44.1" customHeight="1">
      <c r="A535" s="37" t="s">
        <v>815</v>
      </c>
      <c r="B535" s="32" t="s">
        <v>816</v>
      </c>
      <c r="C535" s="40">
        <v>1</v>
      </c>
      <c r="D535" s="43" t="s">
        <v>699</v>
      </c>
      <c r="E535" s="41"/>
      <c r="F535" s="83"/>
    </row>
    <row r="536" spans="1:6" ht="15" customHeight="1">
      <c r="A536" s="37"/>
      <c r="B536" s="32"/>
      <c r="C536" s="40"/>
      <c r="D536" s="37"/>
      <c r="E536" s="41"/>
      <c r="F536" s="83"/>
    </row>
    <row r="537" spans="1:6" ht="15" customHeight="1">
      <c r="A537" s="37" t="s">
        <v>817</v>
      </c>
      <c r="B537" s="42" t="s">
        <v>287</v>
      </c>
      <c r="C537" s="40"/>
      <c r="D537" s="37"/>
      <c r="E537" s="41"/>
      <c r="F537" s="83"/>
    </row>
    <row r="538" spans="1:6" ht="42.95" customHeight="1">
      <c r="A538" s="37" t="s">
        <v>818</v>
      </c>
      <c r="B538" s="32" t="s">
        <v>792</v>
      </c>
      <c r="C538" s="40">
        <v>1</v>
      </c>
      <c r="D538" s="43" t="s">
        <v>628</v>
      </c>
      <c r="E538" s="41"/>
      <c r="F538" s="83">
        <f>C538*E538</f>
        <v>0</v>
      </c>
    </row>
    <row r="539" spans="1:6" ht="39" customHeight="1">
      <c r="A539" s="37" t="s">
        <v>819</v>
      </c>
      <c r="B539" s="32" t="s">
        <v>820</v>
      </c>
      <c r="C539" s="40">
        <v>1</v>
      </c>
      <c r="D539" s="43" t="s">
        <v>628</v>
      </c>
      <c r="E539" s="41"/>
      <c r="F539" s="83"/>
    </row>
    <row r="540" spans="1:6" ht="15" customHeight="1">
      <c r="A540" s="44"/>
      <c r="B540" s="45"/>
      <c r="C540" s="46"/>
      <c r="D540" s="44"/>
      <c r="E540" s="47"/>
      <c r="F540" s="107"/>
    </row>
    <row r="541" spans="1:6" ht="15" customHeight="1">
      <c r="A541" s="37" t="s">
        <v>821</v>
      </c>
      <c r="B541" s="49" t="s">
        <v>778</v>
      </c>
      <c r="C541" s="40"/>
      <c r="D541" s="231"/>
      <c r="E541" s="41"/>
      <c r="F541" s="83"/>
    </row>
    <row r="542" spans="1:6" ht="15" customHeight="1">
      <c r="A542" s="37"/>
      <c r="B542" s="32"/>
      <c r="C542" s="40"/>
      <c r="D542" s="231"/>
      <c r="E542" s="41"/>
      <c r="F542" s="83"/>
    </row>
    <row r="543" spans="1:6" ht="15" customHeight="1">
      <c r="A543" s="37" t="s">
        <v>822</v>
      </c>
      <c r="B543" s="42" t="s">
        <v>291</v>
      </c>
      <c r="C543" s="40"/>
      <c r="D543" s="37"/>
      <c r="E543" s="41"/>
      <c r="F543" s="83"/>
    </row>
    <row r="544" spans="1:6" ht="44.1" customHeight="1">
      <c r="A544" s="37" t="s">
        <v>823</v>
      </c>
      <c r="B544" s="32" t="s">
        <v>824</v>
      </c>
      <c r="C544" s="40">
        <v>2</v>
      </c>
      <c r="D544" s="43" t="s">
        <v>628</v>
      </c>
      <c r="E544" s="41"/>
      <c r="F544" s="83">
        <f>C544*E544</f>
        <v>0</v>
      </c>
    </row>
    <row r="545" spans="1:6" ht="44.1" customHeight="1">
      <c r="A545" s="37" t="s">
        <v>825</v>
      </c>
      <c r="B545" s="32" t="s">
        <v>826</v>
      </c>
      <c r="C545" s="40">
        <v>1</v>
      </c>
      <c r="D545" s="43" t="s">
        <v>628</v>
      </c>
      <c r="E545" s="41"/>
      <c r="F545" s="83">
        <f>C545*E545</f>
        <v>0</v>
      </c>
    </row>
    <row r="546" spans="1:6" ht="14.1" customHeight="1">
      <c r="A546" s="37"/>
      <c r="B546" s="32"/>
      <c r="C546" s="40"/>
      <c r="D546" s="37"/>
      <c r="E546" s="41"/>
      <c r="F546" s="83"/>
    </row>
    <row r="547" spans="1:6" ht="48.95" customHeight="1">
      <c r="A547" s="37" t="s">
        <v>827</v>
      </c>
      <c r="B547" s="32" t="s">
        <v>705</v>
      </c>
      <c r="C547" s="40"/>
      <c r="D547" s="37"/>
      <c r="E547" s="41"/>
      <c r="F547" s="83"/>
    </row>
    <row r="548" spans="1:6" ht="15" customHeight="1">
      <c r="A548" s="37" t="s">
        <v>828</v>
      </c>
      <c r="B548" s="32" t="s">
        <v>829</v>
      </c>
      <c r="C548" s="40">
        <v>1</v>
      </c>
      <c r="D548" s="43" t="s">
        <v>628</v>
      </c>
      <c r="E548" s="41"/>
      <c r="F548" s="83">
        <f t="shared" ref="F548:F552" si="15">C548*E548</f>
        <v>0</v>
      </c>
    </row>
    <row r="549" spans="1:6" ht="15" customHeight="1">
      <c r="A549" s="37" t="s">
        <v>830</v>
      </c>
      <c r="B549" s="32" t="s">
        <v>831</v>
      </c>
      <c r="C549" s="40">
        <v>1</v>
      </c>
      <c r="D549" s="43" t="s">
        <v>628</v>
      </c>
      <c r="E549" s="41"/>
      <c r="F549" s="83">
        <f t="shared" si="15"/>
        <v>0</v>
      </c>
    </row>
    <row r="550" spans="1:6" ht="15" customHeight="1">
      <c r="A550" s="37" t="s">
        <v>832</v>
      </c>
      <c r="B550" s="32" t="s">
        <v>833</v>
      </c>
      <c r="C550" s="40">
        <v>1</v>
      </c>
      <c r="D550" s="43" t="s">
        <v>628</v>
      </c>
      <c r="E550" s="41"/>
      <c r="F550" s="83">
        <f t="shared" si="15"/>
        <v>0</v>
      </c>
    </row>
    <row r="551" spans="1:6" ht="15" customHeight="1">
      <c r="A551" s="37" t="s">
        <v>834</v>
      </c>
      <c r="B551" s="32" t="s">
        <v>835</v>
      </c>
      <c r="C551" s="40">
        <v>1</v>
      </c>
      <c r="D551" s="43" t="s">
        <v>628</v>
      </c>
      <c r="E551" s="41"/>
      <c r="F551" s="83">
        <f t="shared" si="15"/>
        <v>0</v>
      </c>
    </row>
    <row r="552" spans="1:6" ht="15" customHeight="1">
      <c r="A552" s="37" t="s">
        <v>836</v>
      </c>
      <c r="B552" s="32" t="s">
        <v>837</v>
      </c>
      <c r="C552" s="40">
        <v>1</v>
      </c>
      <c r="D552" s="43" t="s">
        <v>628</v>
      </c>
      <c r="E552" s="41"/>
      <c r="F552" s="83">
        <f t="shared" si="15"/>
        <v>0</v>
      </c>
    </row>
    <row r="553" spans="1:6" ht="15" customHeight="1">
      <c r="A553" s="37"/>
      <c r="B553" s="32"/>
      <c r="C553" s="40"/>
      <c r="D553" s="37"/>
      <c r="E553" s="41"/>
      <c r="F553" s="83"/>
    </row>
    <row r="554" spans="1:6" ht="15" customHeight="1">
      <c r="A554" s="44"/>
      <c r="B554" s="45"/>
      <c r="C554" s="46"/>
      <c r="D554" s="44"/>
      <c r="E554" s="47"/>
      <c r="F554" s="107"/>
    </row>
    <row r="555" spans="1:6" ht="17.100000000000001" customHeight="1">
      <c r="A555" s="37" t="s">
        <v>838</v>
      </c>
      <c r="B555" s="49" t="s">
        <v>237</v>
      </c>
      <c r="C555" s="40"/>
      <c r="D555" s="231"/>
      <c r="E555" s="41"/>
      <c r="F555" s="83"/>
    </row>
    <row r="556" spans="1:6" ht="15" customHeight="1">
      <c r="A556" s="37"/>
      <c r="B556" s="49"/>
      <c r="C556" s="40"/>
      <c r="D556" s="231"/>
      <c r="E556" s="41"/>
      <c r="F556" s="83"/>
    </row>
    <row r="557" spans="1:6" ht="62.1" customHeight="1">
      <c r="A557" s="37" t="s">
        <v>839</v>
      </c>
      <c r="B557" s="32" t="s">
        <v>766</v>
      </c>
      <c r="C557" s="40"/>
      <c r="D557" s="37"/>
      <c r="E557" s="41"/>
      <c r="F557" s="83"/>
    </row>
    <row r="558" spans="1:6" ht="15" customHeight="1">
      <c r="A558" s="37" t="s">
        <v>840</v>
      </c>
      <c r="B558" s="32" t="s">
        <v>309</v>
      </c>
      <c r="C558" s="40">
        <v>3.3</v>
      </c>
      <c r="D558" s="43" t="s">
        <v>411</v>
      </c>
      <c r="E558" s="41"/>
      <c r="F558" s="83">
        <f>C558*E558</f>
        <v>0</v>
      </c>
    </row>
    <row r="559" spans="1:6" ht="15" customHeight="1">
      <c r="A559" s="37" t="s">
        <v>841</v>
      </c>
      <c r="B559" s="32" t="s">
        <v>311</v>
      </c>
      <c r="C559" s="40">
        <v>1.5</v>
      </c>
      <c r="D559" s="43" t="s">
        <v>411</v>
      </c>
      <c r="E559" s="41"/>
      <c r="F559" s="83">
        <f>C559*E559</f>
        <v>0</v>
      </c>
    </row>
    <row r="560" spans="1:6" ht="15" customHeight="1">
      <c r="A560" s="37"/>
      <c r="B560" s="32"/>
      <c r="C560" s="40"/>
      <c r="D560" s="37"/>
      <c r="E560" s="50"/>
      <c r="F560" s="212"/>
    </row>
    <row r="561" spans="1:6" ht="42" customHeight="1">
      <c r="A561" s="37" t="s">
        <v>842</v>
      </c>
      <c r="B561" s="32" t="s">
        <v>705</v>
      </c>
      <c r="C561" s="40"/>
      <c r="D561" s="37"/>
      <c r="E561" s="50"/>
      <c r="F561" s="212"/>
    </row>
    <row r="562" spans="1:6" ht="15" customHeight="1">
      <c r="A562" s="37" t="s">
        <v>843</v>
      </c>
      <c r="B562" s="32" t="s">
        <v>844</v>
      </c>
      <c r="C562" s="40">
        <v>1</v>
      </c>
      <c r="D562" s="43" t="s">
        <v>628</v>
      </c>
      <c r="E562" s="50"/>
      <c r="F562" s="212"/>
    </row>
    <row r="563" spans="1:6" ht="15" customHeight="1">
      <c r="A563" s="37" t="s">
        <v>845</v>
      </c>
      <c r="B563" s="32" t="s">
        <v>846</v>
      </c>
      <c r="C563" s="40">
        <v>1</v>
      </c>
      <c r="D563" s="43" t="s">
        <v>628</v>
      </c>
      <c r="E563" s="50"/>
      <c r="F563" s="212"/>
    </row>
    <row r="564" spans="1:6" ht="15" customHeight="1">
      <c r="A564" s="37"/>
      <c r="B564" s="32"/>
      <c r="C564" s="40"/>
      <c r="D564" s="43"/>
      <c r="E564" s="50"/>
      <c r="F564" s="212"/>
    </row>
    <row r="565" spans="1:6" ht="15" customHeight="1">
      <c r="A565" s="37"/>
      <c r="B565" s="32"/>
      <c r="C565" s="40"/>
      <c r="D565" s="43"/>
      <c r="E565" s="50"/>
      <c r="F565" s="212"/>
    </row>
    <row r="566" spans="1:6" ht="15" customHeight="1">
      <c r="A566" s="37"/>
      <c r="B566" s="49" t="s">
        <v>847</v>
      </c>
      <c r="C566" s="40"/>
      <c r="D566" s="43"/>
      <c r="E566" s="50"/>
      <c r="F566" s="212"/>
    </row>
    <row r="567" spans="1:6" ht="54" customHeight="1">
      <c r="A567" s="37" t="s">
        <v>848</v>
      </c>
      <c r="B567" s="32" t="s">
        <v>849</v>
      </c>
      <c r="C567" s="40"/>
      <c r="D567" s="43"/>
      <c r="E567" s="50"/>
      <c r="F567" s="212"/>
    </row>
    <row r="568" spans="1:6" ht="17.100000000000001" customHeight="1">
      <c r="A568" s="37" t="s">
        <v>850</v>
      </c>
      <c r="B568" s="32" t="s">
        <v>851</v>
      </c>
      <c r="C568" s="40">
        <v>1</v>
      </c>
      <c r="D568" s="43" t="s">
        <v>628</v>
      </c>
      <c r="E568" s="50"/>
      <c r="F568" s="212"/>
    </row>
    <row r="569" spans="1:6" ht="15" customHeight="1">
      <c r="A569" s="37" t="s">
        <v>852</v>
      </c>
      <c r="B569" s="32" t="s">
        <v>853</v>
      </c>
      <c r="C569" s="40">
        <v>1</v>
      </c>
      <c r="D569" s="43" t="s">
        <v>628</v>
      </c>
      <c r="E569" s="50"/>
      <c r="F569" s="212"/>
    </row>
    <row r="570" spans="1:6" ht="15" customHeight="1">
      <c r="A570" s="37" t="s">
        <v>854</v>
      </c>
      <c r="B570" s="32" t="s">
        <v>855</v>
      </c>
      <c r="C570" s="40">
        <v>1</v>
      </c>
      <c r="D570" s="43" t="s">
        <v>628</v>
      </c>
      <c r="E570" s="50"/>
      <c r="F570" s="212"/>
    </row>
    <row r="571" spans="1:6" ht="15" customHeight="1">
      <c r="A571" s="37"/>
      <c r="B571" s="32"/>
      <c r="C571" s="40"/>
      <c r="D571" s="43"/>
      <c r="E571" s="50"/>
      <c r="F571" s="212"/>
    </row>
    <row r="572" spans="1:6" ht="54" customHeight="1">
      <c r="A572" s="37" t="s">
        <v>856</v>
      </c>
      <c r="B572" s="32" t="s">
        <v>857</v>
      </c>
      <c r="C572" s="40"/>
      <c r="D572" s="43"/>
      <c r="E572" s="50"/>
      <c r="F572" s="212"/>
    </row>
    <row r="573" spans="1:6" ht="17.100000000000001" customHeight="1">
      <c r="A573" s="37" t="s">
        <v>858</v>
      </c>
      <c r="B573" s="32" t="s">
        <v>851</v>
      </c>
      <c r="C573" s="40">
        <v>4</v>
      </c>
      <c r="D573" s="43" t="s">
        <v>628</v>
      </c>
      <c r="E573" s="50"/>
      <c r="F573" s="212"/>
    </row>
    <row r="574" spans="1:6" ht="15" customHeight="1">
      <c r="A574" s="37"/>
      <c r="B574" s="32"/>
      <c r="C574" s="40"/>
      <c r="D574" s="43"/>
      <c r="E574" s="50"/>
      <c r="F574" s="212"/>
    </row>
    <row r="575" spans="1:6" ht="54" customHeight="1">
      <c r="A575" s="37" t="s">
        <v>859</v>
      </c>
      <c r="B575" s="32" t="s">
        <v>860</v>
      </c>
      <c r="C575" s="40"/>
      <c r="D575" s="43"/>
      <c r="E575" s="50"/>
      <c r="F575" s="212"/>
    </row>
    <row r="576" spans="1:6" ht="17.100000000000001" customHeight="1">
      <c r="A576" s="37" t="s">
        <v>861</v>
      </c>
      <c r="B576" s="32" t="s">
        <v>862</v>
      </c>
      <c r="C576" s="40">
        <v>55</v>
      </c>
      <c r="D576" s="43" t="s">
        <v>628</v>
      </c>
      <c r="E576" s="50"/>
      <c r="F576" s="212"/>
    </row>
    <row r="577" spans="1:6" ht="17.100000000000001" customHeight="1">
      <c r="A577" s="37" t="s">
        <v>863</v>
      </c>
      <c r="B577" s="32" t="s">
        <v>862</v>
      </c>
      <c r="C577" s="40">
        <v>40</v>
      </c>
      <c r="D577" s="43" t="s">
        <v>628</v>
      </c>
      <c r="E577" s="50"/>
      <c r="F577" s="212"/>
    </row>
    <row r="578" spans="1:6" ht="15" customHeight="1">
      <c r="A578" s="37"/>
      <c r="B578" s="32"/>
      <c r="C578" s="40"/>
      <c r="D578" s="43"/>
      <c r="E578" s="50"/>
      <c r="F578" s="212"/>
    </row>
    <row r="579" spans="1:6" ht="15" customHeight="1">
      <c r="A579" s="54"/>
      <c r="B579" s="55"/>
      <c r="C579" s="56"/>
      <c r="D579" s="57"/>
      <c r="E579" s="239"/>
      <c r="F579" s="230"/>
    </row>
    <row r="580" spans="1:6" ht="22.7" customHeight="1">
      <c r="A580" s="470" t="s">
        <v>864</v>
      </c>
      <c r="B580" s="467"/>
      <c r="C580" s="468"/>
      <c r="D580" s="467"/>
      <c r="E580" s="468"/>
      <c r="F580" s="240">
        <f>SUM(F16:F577)</f>
        <v>0</v>
      </c>
    </row>
  </sheetData>
  <mergeCells count="1">
    <mergeCell ref="A580:E580"/>
  </mergeCells>
  <phoneticPr fontId="34" type="noConversion"/>
  <printOptions horizontalCentered="1"/>
  <pageMargins left="0.55118110236220497" right="0.35433070866141703" top="0.98425196850393704" bottom="0.98425196850393704" header="0.511811023622047" footer="0.511811023622047"/>
  <pageSetup paperSize="9" scale="79" fitToHeight="0" orientation="portrait" r:id="rId1"/>
  <headerFooter>
    <oddFooter>&amp;RBQ-E-P.&amp;P/&amp;N</oddFooter>
  </headerFooter>
  <rowBreaks count="10" manualBreakCount="10">
    <brk id="29" max="5" man="1"/>
    <brk id="53" max="5" man="1"/>
    <brk id="83" max="5" man="1"/>
    <brk id="106" max="5" man="1"/>
    <brk id="130" max="5" man="1"/>
    <brk id="158" max="5" man="1"/>
    <brk id="175" max="5" man="1"/>
    <brk id="226" max="5" man="1"/>
    <brk id="247" max="5" man="1"/>
    <brk id="349"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0"/>
  <sheetViews>
    <sheetView showZeros="0" view="pageBreakPreview" topLeftCell="A82" zoomScaleNormal="100" workbookViewId="0">
      <selection activeCell="F100" sqref="A100:F100"/>
    </sheetView>
  </sheetViews>
  <sheetFormatPr defaultColWidth="9.33203125" defaultRowHeight="13.5"/>
  <cols>
    <col min="1" max="1" width="12.5" style="61" customWidth="1"/>
    <col min="2" max="2" width="71.1640625" style="61" customWidth="1"/>
    <col min="3" max="3" width="9.5" style="62" customWidth="1"/>
    <col min="4" max="4" width="8" style="62" customWidth="1"/>
    <col min="5" max="5" width="13" style="63" customWidth="1"/>
    <col min="6" max="6" width="18.6640625" style="64" customWidth="1"/>
    <col min="7" max="16384" width="9.33203125" style="61"/>
  </cols>
  <sheetData>
    <row r="1" spans="1:7" ht="20.100000000000001" customHeight="1">
      <c r="A1" s="6"/>
      <c r="B1" s="65"/>
      <c r="C1" s="61"/>
      <c r="E1" s="61"/>
      <c r="F1" s="66" t="s">
        <v>0</v>
      </c>
    </row>
    <row r="2" spans="1:7" ht="20.100000000000001" customHeight="1">
      <c r="A2" s="6"/>
      <c r="B2" s="65"/>
      <c r="C2" s="61"/>
      <c r="E2" s="61"/>
      <c r="F2" s="66" t="s">
        <v>1</v>
      </c>
    </row>
    <row r="3" spans="1:7" ht="20.100000000000001" customHeight="1">
      <c r="A3" s="67"/>
      <c r="B3" s="68"/>
      <c r="C3" s="69"/>
      <c r="D3" s="70"/>
      <c r="E3" s="69"/>
      <c r="F3" s="71" t="s">
        <v>2</v>
      </c>
    </row>
    <row r="4" spans="1:7" ht="20.100000000000001" customHeight="1">
      <c r="A4" s="72" t="s">
        <v>6</v>
      </c>
      <c r="B4" s="73"/>
      <c r="C4" s="73"/>
      <c r="D4" s="74"/>
      <c r="E4" s="61"/>
      <c r="F4" s="75"/>
    </row>
    <row r="5" spans="1:7" ht="8.25" customHeight="1">
      <c r="A5" s="18"/>
      <c r="B5" s="73"/>
      <c r="C5" s="73"/>
      <c r="D5" s="76"/>
      <c r="E5" s="61"/>
      <c r="F5" s="176"/>
      <c r="G5" s="177"/>
    </row>
    <row r="6" spans="1:7" ht="20.100000000000001" customHeight="1">
      <c r="A6" s="18" t="s">
        <v>865</v>
      </c>
      <c r="B6" s="73"/>
      <c r="C6" s="76"/>
    </row>
    <row r="7" spans="1:7" ht="33" customHeight="1">
      <c r="A7" s="22" t="s">
        <v>166</v>
      </c>
      <c r="B7" s="23" t="s">
        <v>167</v>
      </c>
      <c r="C7" s="22" t="s">
        <v>168</v>
      </c>
      <c r="D7" s="22" t="s">
        <v>169</v>
      </c>
      <c r="E7" s="78" t="s">
        <v>144</v>
      </c>
      <c r="F7" s="79" t="s">
        <v>145</v>
      </c>
    </row>
    <row r="8" spans="1:7" ht="27" customHeight="1">
      <c r="A8" s="26"/>
      <c r="B8" s="27" t="s">
        <v>170</v>
      </c>
      <c r="C8" s="80"/>
      <c r="D8" s="80"/>
      <c r="E8" s="81"/>
      <c r="F8" s="82"/>
    </row>
    <row r="9" spans="1:7" ht="78.75" customHeight="1">
      <c r="A9" s="31" t="s">
        <v>171</v>
      </c>
      <c r="B9" s="32" t="s">
        <v>866</v>
      </c>
      <c r="C9" s="40"/>
      <c r="D9" s="40"/>
      <c r="E9" s="41"/>
      <c r="F9" s="83"/>
    </row>
    <row r="10" spans="1:7" ht="66.75" customHeight="1">
      <c r="A10" s="31" t="s">
        <v>171</v>
      </c>
      <c r="B10" s="84" t="s">
        <v>149</v>
      </c>
      <c r="C10" s="40"/>
      <c r="D10" s="40"/>
      <c r="E10" s="41"/>
      <c r="F10" s="83"/>
    </row>
    <row r="11" spans="1:7" ht="15" customHeight="1">
      <c r="A11" s="37"/>
      <c r="B11" s="32"/>
      <c r="C11" s="40"/>
      <c r="D11" s="40"/>
      <c r="E11" s="41"/>
      <c r="F11" s="83"/>
    </row>
    <row r="12" spans="1:7" ht="60" customHeight="1">
      <c r="A12" s="37" t="s">
        <v>867</v>
      </c>
      <c r="B12" s="49" t="s">
        <v>868</v>
      </c>
      <c r="C12" s="40"/>
      <c r="D12" s="40"/>
      <c r="E12" s="41"/>
      <c r="F12" s="83"/>
    </row>
    <row r="13" spans="1:7" ht="15" customHeight="1">
      <c r="A13" s="37"/>
      <c r="B13" s="32"/>
      <c r="C13" s="40"/>
      <c r="D13" s="40"/>
      <c r="E13" s="41"/>
      <c r="F13" s="83"/>
    </row>
    <row r="14" spans="1:7" ht="27.95" customHeight="1">
      <c r="A14" s="37" t="s">
        <v>869</v>
      </c>
      <c r="B14" s="32" t="s">
        <v>870</v>
      </c>
      <c r="C14" s="40"/>
      <c r="D14" s="43"/>
      <c r="E14" s="41"/>
      <c r="F14" s="83"/>
    </row>
    <row r="15" spans="1:7" ht="27.95" customHeight="1">
      <c r="A15" s="37" t="s">
        <v>871</v>
      </c>
      <c r="B15" s="32" t="s">
        <v>872</v>
      </c>
      <c r="C15" s="40">
        <v>1</v>
      </c>
      <c r="D15" s="43" t="s">
        <v>873</v>
      </c>
      <c r="E15" s="41"/>
      <c r="F15" s="83">
        <f t="shared" ref="F15:F25" si="0">C15*E15</f>
        <v>0</v>
      </c>
    </row>
    <row r="16" spans="1:7" ht="27.95" customHeight="1">
      <c r="A16" s="37" t="s">
        <v>874</v>
      </c>
      <c r="B16" s="32" t="s">
        <v>875</v>
      </c>
      <c r="C16" s="40">
        <v>1</v>
      </c>
      <c r="D16" s="43" t="s">
        <v>873</v>
      </c>
      <c r="E16" s="41"/>
      <c r="F16" s="83">
        <f t="shared" si="0"/>
        <v>0</v>
      </c>
    </row>
    <row r="17" spans="1:6" ht="27.95" customHeight="1">
      <c r="A17" s="37" t="s">
        <v>876</v>
      </c>
      <c r="B17" s="32" t="s">
        <v>877</v>
      </c>
      <c r="C17" s="40">
        <v>1</v>
      </c>
      <c r="D17" s="43" t="s">
        <v>873</v>
      </c>
      <c r="E17" s="41"/>
      <c r="F17" s="83">
        <f t="shared" si="0"/>
        <v>0</v>
      </c>
    </row>
    <row r="18" spans="1:6" ht="36" customHeight="1">
      <c r="A18" s="37" t="s">
        <v>878</v>
      </c>
      <c r="B18" s="32" t="s">
        <v>879</v>
      </c>
      <c r="C18" s="40">
        <v>2</v>
      </c>
      <c r="D18" s="43" t="s">
        <v>873</v>
      </c>
      <c r="E18" s="41"/>
      <c r="F18" s="83">
        <f t="shared" si="0"/>
        <v>0</v>
      </c>
    </row>
    <row r="19" spans="1:6" ht="27.95" customHeight="1">
      <c r="A19" s="37" t="s">
        <v>880</v>
      </c>
      <c r="B19" s="32" t="s">
        <v>881</v>
      </c>
      <c r="C19" s="40">
        <v>2</v>
      </c>
      <c r="D19" s="43" t="s">
        <v>873</v>
      </c>
      <c r="E19" s="41"/>
      <c r="F19" s="83">
        <f t="shared" si="0"/>
        <v>0</v>
      </c>
    </row>
    <row r="20" spans="1:6" ht="27.95" customHeight="1">
      <c r="A20" s="37" t="s">
        <v>882</v>
      </c>
      <c r="B20" s="32" t="s">
        <v>883</v>
      </c>
      <c r="C20" s="40">
        <v>1</v>
      </c>
      <c r="D20" s="43" t="s">
        <v>873</v>
      </c>
      <c r="E20" s="41"/>
      <c r="F20" s="83">
        <f t="shared" si="0"/>
        <v>0</v>
      </c>
    </row>
    <row r="21" spans="1:6" ht="27.95" customHeight="1">
      <c r="A21" s="37" t="s">
        <v>884</v>
      </c>
      <c r="B21" s="32" t="s">
        <v>885</v>
      </c>
      <c r="C21" s="40">
        <v>1</v>
      </c>
      <c r="D21" s="43" t="s">
        <v>873</v>
      </c>
      <c r="E21" s="41"/>
      <c r="F21" s="83">
        <f t="shared" si="0"/>
        <v>0</v>
      </c>
    </row>
    <row r="22" spans="1:6" ht="24.95" customHeight="1">
      <c r="A22" s="37" t="s">
        <v>886</v>
      </c>
      <c r="B22" s="32" t="s">
        <v>887</v>
      </c>
      <c r="C22" s="40">
        <v>1</v>
      </c>
      <c r="D22" s="43" t="s">
        <v>873</v>
      </c>
      <c r="E22" s="41"/>
      <c r="F22" s="83">
        <f t="shared" si="0"/>
        <v>0</v>
      </c>
    </row>
    <row r="23" spans="1:6" ht="24.95" customHeight="1">
      <c r="A23" s="37" t="s">
        <v>888</v>
      </c>
      <c r="B23" s="32" t="s">
        <v>889</v>
      </c>
      <c r="C23" s="40">
        <v>1</v>
      </c>
      <c r="D23" s="43" t="s">
        <v>873</v>
      </c>
      <c r="E23" s="41"/>
      <c r="F23" s="83">
        <f t="shared" si="0"/>
        <v>0</v>
      </c>
    </row>
    <row r="24" spans="1:6" ht="24.95" customHeight="1">
      <c r="A24" s="37" t="s">
        <v>890</v>
      </c>
      <c r="B24" s="32" t="s">
        <v>891</v>
      </c>
      <c r="C24" s="40">
        <v>1</v>
      </c>
      <c r="D24" s="43" t="s">
        <v>873</v>
      </c>
      <c r="E24" s="41"/>
      <c r="F24" s="83">
        <f t="shared" si="0"/>
        <v>0</v>
      </c>
    </row>
    <row r="25" spans="1:6" ht="24.95" customHeight="1">
      <c r="A25" s="37" t="s">
        <v>892</v>
      </c>
      <c r="B25" s="32" t="s">
        <v>893</v>
      </c>
      <c r="C25" s="40">
        <v>1</v>
      </c>
      <c r="D25" s="43" t="s">
        <v>873</v>
      </c>
      <c r="E25" s="41"/>
      <c r="F25" s="83">
        <f t="shared" si="0"/>
        <v>0</v>
      </c>
    </row>
    <row r="26" spans="1:6" ht="15" customHeight="1">
      <c r="A26" s="37"/>
      <c r="B26" s="32"/>
      <c r="C26" s="40"/>
      <c r="D26" s="43"/>
      <c r="E26" s="41"/>
      <c r="F26" s="83"/>
    </row>
    <row r="27" spans="1:6" ht="27.95" customHeight="1">
      <c r="A27" s="37" t="s">
        <v>894</v>
      </c>
      <c r="B27" s="32" t="s">
        <v>895</v>
      </c>
      <c r="C27" s="40"/>
      <c r="D27" s="43"/>
      <c r="E27" s="41"/>
      <c r="F27" s="83"/>
    </row>
    <row r="28" spans="1:6" ht="24.95" customHeight="1">
      <c r="A28" s="37" t="s">
        <v>896</v>
      </c>
      <c r="B28" s="32" t="s">
        <v>897</v>
      </c>
      <c r="C28" s="40">
        <v>1</v>
      </c>
      <c r="D28" s="43" t="s">
        <v>873</v>
      </c>
      <c r="E28" s="41"/>
      <c r="F28" s="83">
        <f t="shared" ref="F28:F35" si="1">C28*E28</f>
        <v>0</v>
      </c>
    </row>
    <row r="29" spans="1:6" ht="24.95" customHeight="1">
      <c r="A29" s="37" t="s">
        <v>898</v>
      </c>
      <c r="B29" s="32" t="s">
        <v>899</v>
      </c>
      <c r="C29" s="40">
        <v>1</v>
      </c>
      <c r="D29" s="43" t="s">
        <v>873</v>
      </c>
      <c r="E29" s="41"/>
      <c r="F29" s="83">
        <f t="shared" si="1"/>
        <v>0</v>
      </c>
    </row>
    <row r="30" spans="1:6" ht="35.1" customHeight="1">
      <c r="A30" s="44" t="s">
        <v>900</v>
      </c>
      <c r="B30" s="44" t="s">
        <v>901</v>
      </c>
      <c r="C30" s="46">
        <v>1</v>
      </c>
      <c r="D30" s="196" t="s">
        <v>873</v>
      </c>
      <c r="E30" s="47"/>
      <c r="F30" s="107">
        <f t="shared" si="1"/>
        <v>0</v>
      </c>
    </row>
    <row r="31" spans="1:6" ht="24.95" customHeight="1">
      <c r="A31" s="37" t="s">
        <v>902</v>
      </c>
      <c r="B31" s="32" t="s">
        <v>903</v>
      </c>
      <c r="C31" s="40">
        <v>1</v>
      </c>
      <c r="D31" s="43" t="s">
        <v>873</v>
      </c>
      <c r="E31" s="41"/>
      <c r="F31" s="83">
        <f t="shared" si="1"/>
        <v>0</v>
      </c>
    </row>
    <row r="32" spans="1:6" ht="24.95" customHeight="1">
      <c r="A32" s="37" t="s">
        <v>904</v>
      </c>
      <c r="B32" s="32" t="s">
        <v>905</v>
      </c>
      <c r="C32" s="40">
        <v>1</v>
      </c>
      <c r="D32" s="43" t="s">
        <v>873</v>
      </c>
      <c r="E32" s="41"/>
      <c r="F32" s="83">
        <f t="shared" si="1"/>
        <v>0</v>
      </c>
    </row>
    <row r="33" spans="1:6" ht="33.950000000000003" customHeight="1">
      <c r="A33" s="37" t="s">
        <v>906</v>
      </c>
      <c r="B33" s="32" t="s">
        <v>907</v>
      </c>
      <c r="C33" s="40">
        <v>1</v>
      </c>
      <c r="D33" s="43" t="s">
        <v>873</v>
      </c>
      <c r="E33" s="41"/>
      <c r="F33" s="83">
        <f t="shared" si="1"/>
        <v>0</v>
      </c>
    </row>
    <row r="34" spans="1:6" ht="24.95" customHeight="1">
      <c r="A34" s="37" t="s">
        <v>908</v>
      </c>
      <c r="B34" s="32" t="s">
        <v>909</v>
      </c>
      <c r="C34" s="40">
        <v>2</v>
      </c>
      <c r="D34" s="43" t="s">
        <v>873</v>
      </c>
      <c r="E34" s="41"/>
      <c r="F34" s="83">
        <f t="shared" si="1"/>
        <v>0</v>
      </c>
    </row>
    <row r="35" spans="1:6" ht="24.95" customHeight="1">
      <c r="A35" s="37" t="s">
        <v>910</v>
      </c>
      <c r="B35" s="32" t="s">
        <v>911</v>
      </c>
      <c r="C35" s="40">
        <v>1</v>
      </c>
      <c r="D35" s="43" t="s">
        <v>873</v>
      </c>
      <c r="E35" s="41"/>
      <c r="F35" s="83">
        <f t="shared" si="1"/>
        <v>0</v>
      </c>
    </row>
    <row r="36" spans="1:6" ht="24.95" customHeight="1">
      <c r="A36" s="37"/>
      <c r="B36" s="32"/>
      <c r="C36" s="40"/>
      <c r="D36" s="43"/>
      <c r="E36" s="41"/>
      <c r="F36" s="83"/>
    </row>
    <row r="37" spans="1:6" ht="60" customHeight="1">
      <c r="A37" s="37" t="s">
        <v>912</v>
      </c>
      <c r="B37" s="49" t="s">
        <v>913</v>
      </c>
      <c r="C37" s="40"/>
      <c r="D37" s="43"/>
      <c r="E37" s="41"/>
      <c r="F37" s="83"/>
    </row>
    <row r="38" spans="1:6" ht="24.95" customHeight="1">
      <c r="A38" s="37"/>
      <c r="B38" s="32" t="s">
        <v>914</v>
      </c>
      <c r="C38" s="40">
        <v>1</v>
      </c>
      <c r="D38" s="43" t="s">
        <v>873</v>
      </c>
      <c r="E38" s="41"/>
      <c r="F38" s="83">
        <f>C38*E38</f>
        <v>0</v>
      </c>
    </row>
    <row r="39" spans="1:6" ht="12.75" customHeight="1">
      <c r="A39" s="37"/>
      <c r="B39" s="32"/>
      <c r="C39" s="40"/>
      <c r="D39" s="43"/>
      <c r="E39" s="41"/>
      <c r="F39" s="83"/>
    </row>
    <row r="40" spans="1:6" ht="60" customHeight="1">
      <c r="A40" s="37" t="s">
        <v>915</v>
      </c>
      <c r="B40" s="49" t="s">
        <v>916</v>
      </c>
      <c r="C40" s="40"/>
      <c r="D40" s="43"/>
      <c r="E40" s="41"/>
      <c r="F40" s="83"/>
    </row>
    <row r="41" spans="1:6" ht="27.95" customHeight="1">
      <c r="A41" s="37" t="s">
        <v>917</v>
      </c>
      <c r="B41" s="32" t="s">
        <v>918</v>
      </c>
      <c r="C41" s="40">
        <v>1</v>
      </c>
      <c r="D41" s="43" t="s">
        <v>873</v>
      </c>
      <c r="E41" s="41"/>
      <c r="F41" s="83">
        <f t="shared" ref="F41:F49" si="2">C41*E41</f>
        <v>0</v>
      </c>
    </row>
    <row r="42" spans="1:6" ht="24.95" customHeight="1">
      <c r="A42" s="37" t="s">
        <v>919</v>
      </c>
      <c r="B42" s="32" t="s">
        <v>920</v>
      </c>
      <c r="C42" s="40">
        <v>1</v>
      </c>
      <c r="D42" s="43" t="s">
        <v>873</v>
      </c>
      <c r="E42" s="41"/>
      <c r="F42" s="83">
        <f t="shared" si="2"/>
        <v>0</v>
      </c>
    </row>
    <row r="43" spans="1:6" ht="24.95" customHeight="1">
      <c r="A43" s="37" t="s">
        <v>921</v>
      </c>
      <c r="B43" s="32" t="s">
        <v>922</v>
      </c>
      <c r="C43" s="40">
        <v>1</v>
      </c>
      <c r="D43" s="43" t="s">
        <v>873</v>
      </c>
      <c r="E43" s="41"/>
      <c r="F43" s="83">
        <f t="shared" si="2"/>
        <v>0</v>
      </c>
    </row>
    <row r="44" spans="1:6" ht="24.95" customHeight="1">
      <c r="A44" s="37" t="s">
        <v>923</v>
      </c>
      <c r="B44" s="32" t="s">
        <v>924</v>
      </c>
      <c r="C44" s="40">
        <v>1</v>
      </c>
      <c r="D44" s="43" t="s">
        <v>873</v>
      </c>
      <c r="E44" s="41"/>
      <c r="F44" s="83">
        <f t="shared" si="2"/>
        <v>0</v>
      </c>
    </row>
    <row r="45" spans="1:6" ht="24.95" customHeight="1">
      <c r="A45" s="37" t="s">
        <v>925</v>
      </c>
      <c r="B45" s="32" t="s">
        <v>926</v>
      </c>
      <c r="C45" s="40">
        <v>1</v>
      </c>
      <c r="D45" s="43" t="s">
        <v>873</v>
      </c>
      <c r="E45" s="41"/>
      <c r="F45" s="83">
        <f t="shared" si="2"/>
        <v>0</v>
      </c>
    </row>
    <row r="46" spans="1:6" ht="24.95" customHeight="1">
      <c r="A46" s="37" t="s">
        <v>927</v>
      </c>
      <c r="B46" s="32" t="s">
        <v>928</v>
      </c>
      <c r="C46" s="40">
        <v>1</v>
      </c>
      <c r="D46" s="43" t="s">
        <v>873</v>
      </c>
      <c r="E46" s="41"/>
      <c r="F46" s="83">
        <f t="shared" si="2"/>
        <v>0</v>
      </c>
    </row>
    <row r="47" spans="1:6" ht="24.95" customHeight="1">
      <c r="A47" s="37" t="s">
        <v>929</v>
      </c>
      <c r="B47" s="32" t="s">
        <v>930</v>
      </c>
      <c r="C47" s="40">
        <v>1</v>
      </c>
      <c r="D47" s="43" t="s">
        <v>873</v>
      </c>
      <c r="E47" s="41"/>
      <c r="F47" s="83">
        <f t="shared" si="2"/>
        <v>0</v>
      </c>
    </row>
    <row r="48" spans="1:6" ht="24.95" customHeight="1">
      <c r="A48" s="37" t="s">
        <v>931</v>
      </c>
      <c r="B48" s="32" t="s">
        <v>932</v>
      </c>
      <c r="C48" s="40">
        <v>1</v>
      </c>
      <c r="D48" s="43" t="s">
        <v>873</v>
      </c>
      <c r="E48" s="41"/>
      <c r="F48" s="83">
        <f t="shared" si="2"/>
        <v>0</v>
      </c>
    </row>
    <row r="49" spans="1:6" ht="24.95" customHeight="1">
      <c r="A49" s="37" t="s">
        <v>933</v>
      </c>
      <c r="B49" s="32" t="s">
        <v>934</v>
      </c>
      <c r="C49" s="40">
        <v>1</v>
      </c>
      <c r="D49" s="43" t="s">
        <v>873</v>
      </c>
      <c r="E49" s="41"/>
      <c r="F49" s="83">
        <f t="shared" si="2"/>
        <v>0</v>
      </c>
    </row>
    <row r="50" spans="1:6" ht="12.75" customHeight="1">
      <c r="A50" s="37"/>
      <c r="B50" s="32"/>
      <c r="C50" s="40"/>
      <c r="D50" s="43"/>
      <c r="E50" s="41"/>
      <c r="F50" s="83"/>
    </row>
    <row r="51" spans="1:6" ht="51" customHeight="1">
      <c r="A51" s="37" t="s">
        <v>935</v>
      </c>
      <c r="B51" s="49" t="s">
        <v>936</v>
      </c>
      <c r="C51" s="40"/>
      <c r="D51" s="43"/>
      <c r="E51" s="41"/>
      <c r="F51" s="83"/>
    </row>
    <row r="52" spans="1:6" ht="24.95" customHeight="1">
      <c r="A52" s="37" t="s">
        <v>937</v>
      </c>
      <c r="B52" s="32" t="s">
        <v>938</v>
      </c>
      <c r="C52" s="40">
        <v>2</v>
      </c>
      <c r="D52" s="43" t="s">
        <v>873</v>
      </c>
      <c r="E52" s="41"/>
      <c r="F52" s="83">
        <f t="shared" ref="F52:F75" si="3">C52*E52</f>
        <v>0</v>
      </c>
    </row>
    <row r="53" spans="1:6" ht="24.95" customHeight="1">
      <c r="A53" s="37" t="s">
        <v>939</v>
      </c>
      <c r="B53" s="32" t="s">
        <v>940</v>
      </c>
      <c r="C53" s="40">
        <v>1</v>
      </c>
      <c r="D53" s="43" t="s">
        <v>873</v>
      </c>
      <c r="E53" s="41"/>
      <c r="F53" s="83">
        <f t="shared" si="3"/>
        <v>0</v>
      </c>
    </row>
    <row r="54" spans="1:6" ht="24.95" customHeight="1">
      <c r="A54" s="37" t="s">
        <v>941</v>
      </c>
      <c r="B54" s="32" t="s">
        <v>942</v>
      </c>
      <c r="C54" s="40">
        <v>4</v>
      </c>
      <c r="D54" s="43" t="s">
        <v>873</v>
      </c>
      <c r="E54" s="41"/>
      <c r="F54" s="83">
        <f t="shared" si="3"/>
        <v>0</v>
      </c>
    </row>
    <row r="55" spans="1:6" ht="24.95" customHeight="1">
      <c r="A55" s="37" t="s">
        <v>943</v>
      </c>
      <c r="B55" s="32" t="s">
        <v>944</v>
      </c>
      <c r="C55" s="40">
        <v>2</v>
      </c>
      <c r="D55" s="43" t="s">
        <v>873</v>
      </c>
      <c r="E55" s="41"/>
      <c r="F55" s="83">
        <f t="shared" si="3"/>
        <v>0</v>
      </c>
    </row>
    <row r="56" spans="1:6" ht="24.95" customHeight="1">
      <c r="A56" s="44" t="s">
        <v>945</v>
      </c>
      <c r="B56" s="44" t="s">
        <v>946</v>
      </c>
      <c r="C56" s="197">
        <v>2</v>
      </c>
      <c r="D56" s="198" t="s">
        <v>873</v>
      </c>
      <c r="E56" s="199"/>
      <c r="F56" s="110">
        <f t="shared" si="3"/>
        <v>0</v>
      </c>
    </row>
    <row r="57" spans="1:6" ht="24.95" customHeight="1">
      <c r="A57" s="37" t="s">
        <v>947</v>
      </c>
      <c r="B57" s="32" t="s">
        <v>948</v>
      </c>
      <c r="C57" s="40">
        <v>3</v>
      </c>
      <c r="D57" s="43" t="s">
        <v>873</v>
      </c>
      <c r="E57" s="41"/>
      <c r="F57" s="83">
        <f t="shared" si="3"/>
        <v>0</v>
      </c>
    </row>
    <row r="58" spans="1:6" ht="24.95" customHeight="1">
      <c r="A58" s="37" t="s">
        <v>949</v>
      </c>
      <c r="B58" s="32" t="s">
        <v>950</v>
      </c>
      <c r="C58" s="40">
        <v>1</v>
      </c>
      <c r="D58" s="43" t="s">
        <v>873</v>
      </c>
      <c r="E58" s="41"/>
      <c r="F58" s="83">
        <f t="shared" si="3"/>
        <v>0</v>
      </c>
    </row>
    <row r="59" spans="1:6" ht="24.95" customHeight="1">
      <c r="A59" s="37" t="s">
        <v>951</v>
      </c>
      <c r="B59" s="32" t="s">
        <v>952</v>
      </c>
      <c r="C59" s="40">
        <v>1</v>
      </c>
      <c r="D59" s="43" t="s">
        <v>873</v>
      </c>
      <c r="E59" s="41"/>
      <c r="F59" s="83">
        <f t="shared" si="3"/>
        <v>0</v>
      </c>
    </row>
    <row r="60" spans="1:6" ht="24.95" customHeight="1">
      <c r="A60" s="37" t="s">
        <v>953</v>
      </c>
      <c r="B60" s="32" t="s">
        <v>954</v>
      </c>
      <c r="C60" s="40">
        <v>1</v>
      </c>
      <c r="D60" s="43" t="s">
        <v>873</v>
      </c>
      <c r="E60" s="41"/>
      <c r="F60" s="83">
        <f t="shared" si="3"/>
        <v>0</v>
      </c>
    </row>
    <row r="61" spans="1:6" ht="24.95" customHeight="1">
      <c r="A61" s="37" t="s">
        <v>955</v>
      </c>
      <c r="B61" s="32" t="s">
        <v>956</v>
      </c>
      <c r="C61" s="40">
        <v>1</v>
      </c>
      <c r="D61" s="43" t="s">
        <v>873</v>
      </c>
      <c r="E61" s="41"/>
      <c r="F61" s="83">
        <f t="shared" si="3"/>
        <v>0</v>
      </c>
    </row>
    <row r="62" spans="1:6" ht="24.95" customHeight="1">
      <c r="A62" s="37" t="s">
        <v>957</v>
      </c>
      <c r="B62" s="32" t="s">
        <v>958</v>
      </c>
      <c r="C62" s="40">
        <v>1</v>
      </c>
      <c r="D62" s="43" t="s">
        <v>873</v>
      </c>
      <c r="E62" s="41"/>
      <c r="F62" s="83">
        <f t="shared" si="3"/>
        <v>0</v>
      </c>
    </row>
    <row r="63" spans="1:6" ht="24.95" customHeight="1">
      <c r="A63" s="37" t="s">
        <v>959</v>
      </c>
      <c r="B63" s="32" t="s">
        <v>960</v>
      </c>
      <c r="C63" s="40">
        <v>1</v>
      </c>
      <c r="D63" s="43" t="s">
        <v>873</v>
      </c>
      <c r="E63" s="41"/>
      <c r="F63" s="83">
        <f t="shared" si="3"/>
        <v>0</v>
      </c>
    </row>
    <row r="64" spans="1:6" ht="24.95" customHeight="1">
      <c r="A64" s="37" t="s">
        <v>961</v>
      </c>
      <c r="B64" s="32" t="s">
        <v>962</v>
      </c>
      <c r="C64" s="40">
        <v>1</v>
      </c>
      <c r="D64" s="43" t="s">
        <v>873</v>
      </c>
      <c r="E64" s="41"/>
      <c r="F64" s="83">
        <f t="shared" si="3"/>
        <v>0</v>
      </c>
    </row>
    <row r="65" spans="1:6" ht="24.95" customHeight="1">
      <c r="A65" s="37" t="s">
        <v>963</v>
      </c>
      <c r="B65" s="32" t="s">
        <v>964</v>
      </c>
      <c r="C65" s="40">
        <v>3</v>
      </c>
      <c r="D65" s="43" t="s">
        <v>873</v>
      </c>
      <c r="E65" s="41"/>
      <c r="F65" s="83">
        <f t="shared" si="3"/>
        <v>0</v>
      </c>
    </row>
    <row r="66" spans="1:6" ht="24.95" customHeight="1">
      <c r="A66" s="37" t="s">
        <v>965</v>
      </c>
      <c r="B66" s="32" t="s">
        <v>966</v>
      </c>
      <c r="C66" s="40">
        <v>1</v>
      </c>
      <c r="D66" s="43" t="s">
        <v>873</v>
      </c>
      <c r="E66" s="41"/>
      <c r="F66" s="83">
        <f t="shared" si="3"/>
        <v>0</v>
      </c>
    </row>
    <row r="67" spans="1:6" ht="24.95" customHeight="1">
      <c r="A67" s="37" t="s">
        <v>967</v>
      </c>
      <c r="B67" s="32" t="s">
        <v>968</v>
      </c>
      <c r="C67" s="40">
        <v>2</v>
      </c>
      <c r="D67" s="43" t="s">
        <v>873</v>
      </c>
      <c r="E67" s="41"/>
      <c r="F67" s="83">
        <f t="shared" si="3"/>
        <v>0</v>
      </c>
    </row>
    <row r="68" spans="1:6" ht="24.95" customHeight="1">
      <c r="A68" s="37" t="s">
        <v>969</v>
      </c>
      <c r="B68" s="32" t="s">
        <v>970</v>
      </c>
      <c r="C68" s="40">
        <v>2</v>
      </c>
      <c r="D68" s="43" t="s">
        <v>873</v>
      </c>
      <c r="E68" s="41"/>
      <c r="F68" s="83">
        <f t="shared" si="3"/>
        <v>0</v>
      </c>
    </row>
    <row r="69" spans="1:6" ht="24.95" customHeight="1">
      <c r="A69" s="37" t="s">
        <v>971</v>
      </c>
      <c r="B69" s="32" t="s">
        <v>972</v>
      </c>
      <c r="C69" s="40">
        <v>2</v>
      </c>
      <c r="D69" s="43" t="s">
        <v>873</v>
      </c>
      <c r="E69" s="41"/>
      <c r="F69" s="83">
        <f t="shared" si="3"/>
        <v>0</v>
      </c>
    </row>
    <row r="70" spans="1:6" ht="24.95" customHeight="1">
      <c r="A70" s="37" t="s">
        <v>973</v>
      </c>
      <c r="B70" s="32" t="s">
        <v>974</v>
      </c>
      <c r="C70" s="40">
        <v>1</v>
      </c>
      <c r="D70" s="43" t="s">
        <v>873</v>
      </c>
      <c r="E70" s="41"/>
      <c r="F70" s="83">
        <f t="shared" si="3"/>
        <v>0</v>
      </c>
    </row>
    <row r="71" spans="1:6" ht="24.95" customHeight="1">
      <c r="A71" s="37" t="s">
        <v>975</v>
      </c>
      <c r="B71" s="32" t="s">
        <v>976</v>
      </c>
      <c r="C71" s="40">
        <v>5</v>
      </c>
      <c r="D71" s="43" t="s">
        <v>873</v>
      </c>
      <c r="E71" s="41"/>
      <c r="F71" s="83">
        <f t="shared" si="3"/>
        <v>0</v>
      </c>
    </row>
    <row r="72" spans="1:6" ht="24.95" customHeight="1">
      <c r="A72" s="37" t="s">
        <v>977</v>
      </c>
      <c r="B72" s="32" t="s">
        <v>978</v>
      </c>
      <c r="C72" s="40">
        <v>1</v>
      </c>
      <c r="D72" s="43" t="s">
        <v>873</v>
      </c>
      <c r="E72" s="41"/>
      <c r="F72" s="83">
        <f t="shared" si="3"/>
        <v>0</v>
      </c>
    </row>
    <row r="73" spans="1:6" ht="24.95" customHeight="1">
      <c r="A73" s="37" t="s">
        <v>979</v>
      </c>
      <c r="B73" s="32" t="s">
        <v>980</v>
      </c>
      <c r="C73" s="40">
        <v>1</v>
      </c>
      <c r="D73" s="43" t="s">
        <v>873</v>
      </c>
      <c r="E73" s="41"/>
      <c r="F73" s="83">
        <f t="shared" si="3"/>
        <v>0</v>
      </c>
    </row>
    <row r="74" spans="1:6" ht="24.95" customHeight="1">
      <c r="A74" s="37" t="s">
        <v>981</v>
      </c>
      <c r="B74" s="32" t="s">
        <v>982</v>
      </c>
      <c r="C74" s="40">
        <v>2</v>
      </c>
      <c r="D74" s="43" t="s">
        <v>873</v>
      </c>
      <c r="E74" s="41"/>
      <c r="F74" s="83">
        <f t="shared" si="3"/>
        <v>0</v>
      </c>
    </row>
    <row r="75" spans="1:6" ht="24.95" customHeight="1">
      <c r="A75" s="37" t="s">
        <v>983</v>
      </c>
      <c r="B75" s="32" t="s">
        <v>984</v>
      </c>
      <c r="C75" s="40">
        <v>1</v>
      </c>
      <c r="D75" s="43" t="s">
        <v>873</v>
      </c>
      <c r="E75" s="41"/>
      <c r="F75" s="83">
        <f t="shared" si="3"/>
        <v>0</v>
      </c>
    </row>
    <row r="76" spans="1:6" ht="12.75" customHeight="1">
      <c r="A76" s="37"/>
      <c r="B76" s="32"/>
      <c r="C76" s="40"/>
      <c r="D76" s="43"/>
      <c r="E76" s="41"/>
      <c r="F76" s="83"/>
    </row>
    <row r="77" spans="1:6" ht="69" customHeight="1">
      <c r="A77" s="37" t="s">
        <v>985</v>
      </c>
      <c r="B77" s="49" t="s">
        <v>986</v>
      </c>
      <c r="C77" s="40"/>
      <c r="D77" s="43"/>
      <c r="E77" s="41"/>
      <c r="F77" s="83"/>
    </row>
    <row r="78" spans="1:6" ht="18" customHeight="1">
      <c r="A78" s="37" t="s">
        <v>987</v>
      </c>
      <c r="B78" s="200" t="s">
        <v>988</v>
      </c>
      <c r="C78" s="40">
        <f>ROUND((6.5*2.6-0.9*2.2*2)*3+(6.6*2.6-0.9*2.2*2)+(8*2.6-0.9*2.2)+(11.9*2.6-1.8*2.2)+(6.9*2.6*3)+(2.5*2.6-1.8*2.2)+(4.1*2.6-0.7*2.2)+(2.5*2.6)+(6.9*2.6*3)+(5.85*2.6-1.8*2.2)+(2.75*2.6)+(4.3*2.6-0.9*2.2)+(14.4*2.6-0.9*2.2*3)+(11.5*2.6-0.9*2.2*4),0)</f>
        <v>305</v>
      </c>
      <c r="D78" s="43" t="s">
        <v>153</v>
      </c>
      <c r="E78" s="41"/>
      <c r="F78" s="83">
        <f>C78*E78</f>
        <v>0</v>
      </c>
    </row>
    <row r="79" spans="1:6" ht="24" customHeight="1">
      <c r="A79" s="37" t="s">
        <v>989</v>
      </c>
      <c r="B79" s="200" t="s">
        <v>988</v>
      </c>
      <c r="C79" s="40">
        <f>ROUND((29.5*2.6-0.9*2.2*7)+(11.2*2.6-1.8*2.2*2)+(10.45*2.6-0.9*2.2*2),0)</f>
        <v>107</v>
      </c>
      <c r="D79" s="43" t="s">
        <v>153</v>
      </c>
      <c r="E79" s="41"/>
      <c r="F79" s="83">
        <f>C79*E79</f>
        <v>0</v>
      </c>
    </row>
    <row r="80" spans="1:6" ht="18.95" customHeight="1">
      <c r="A80" s="44"/>
      <c r="B80" s="201"/>
      <c r="C80" s="46"/>
      <c r="D80" s="196"/>
      <c r="E80" s="47"/>
      <c r="F80" s="107"/>
    </row>
    <row r="81" spans="1:6" ht="69" customHeight="1">
      <c r="A81" s="37" t="s">
        <v>990</v>
      </c>
      <c r="B81" s="49" t="s">
        <v>991</v>
      </c>
      <c r="C81" s="40"/>
      <c r="D81" s="43"/>
      <c r="E81" s="41"/>
      <c r="F81" s="83"/>
    </row>
    <row r="82" spans="1:6" ht="18" customHeight="1">
      <c r="A82" s="37" t="s">
        <v>992</v>
      </c>
      <c r="B82" s="200" t="s">
        <v>993</v>
      </c>
      <c r="C82" s="40">
        <f>ROUND((6.9*2.6-0.9*2.2*2),0)</f>
        <v>14</v>
      </c>
      <c r="D82" s="43" t="s">
        <v>153</v>
      </c>
      <c r="E82" s="41"/>
      <c r="F82" s="83">
        <f>C82*E82</f>
        <v>0</v>
      </c>
    </row>
    <row r="83" spans="1:6" ht="18.95" customHeight="1">
      <c r="A83" s="37"/>
      <c r="B83" s="32"/>
      <c r="C83" s="40"/>
      <c r="D83" s="43"/>
      <c r="E83" s="41"/>
      <c r="F83" s="83"/>
    </row>
    <row r="84" spans="1:6" ht="69" customHeight="1">
      <c r="A84" s="37" t="s">
        <v>994</v>
      </c>
      <c r="B84" s="49" t="s">
        <v>995</v>
      </c>
      <c r="C84" s="40"/>
      <c r="D84" s="43"/>
      <c r="E84" s="41"/>
      <c r="F84" s="83"/>
    </row>
    <row r="85" spans="1:6" ht="18" customHeight="1">
      <c r="A85" s="37"/>
      <c r="B85" s="200"/>
      <c r="C85" s="40"/>
      <c r="D85" s="43"/>
      <c r="E85" s="41"/>
      <c r="F85" s="83"/>
    </row>
    <row r="86" spans="1:6" ht="18" customHeight="1">
      <c r="A86" s="37" t="s">
        <v>996</v>
      </c>
      <c r="B86" s="200" t="s">
        <v>997</v>
      </c>
      <c r="C86" s="40">
        <f>ROUND((11*2+18.7+5.7)*2.6,0)</f>
        <v>121</v>
      </c>
      <c r="D86" s="43" t="s">
        <v>153</v>
      </c>
      <c r="E86" s="41"/>
      <c r="F86" s="83">
        <f>C86*E86</f>
        <v>0</v>
      </c>
    </row>
    <row r="87" spans="1:6" ht="14.25" customHeight="1">
      <c r="A87" s="37"/>
      <c r="B87" s="32"/>
      <c r="C87" s="40"/>
      <c r="D87" s="43"/>
      <c r="E87" s="41"/>
      <c r="F87" s="83"/>
    </row>
    <row r="88" spans="1:6" ht="45" customHeight="1">
      <c r="A88" s="37" t="s">
        <v>998</v>
      </c>
      <c r="B88" s="49" t="s">
        <v>999</v>
      </c>
      <c r="C88" s="40"/>
      <c r="D88" s="43"/>
      <c r="E88" s="41"/>
      <c r="F88" s="83"/>
    </row>
    <row r="89" spans="1:6" ht="18" customHeight="1">
      <c r="A89" s="37" t="s">
        <v>1000</v>
      </c>
      <c r="B89" s="200" t="s">
        <v>1001</v>
      </c>
      <c r="C89" s="40">
        <f>ROUND((10*2.4*2),0)</f>
        <v>48</v>
      </c>
      <c r="D89" s="43" t="s">
        <v>153</v>
      </c>
      <c r="E89" s="41"/>
      <c r="F89" s="83">
        <f>C89*E89</f>
        <v>0</v>
      </c>
    </row>
    <row r="90" spans="1:6" ht="18" customHeight="1">
      <c r="A90" s="37"/>
      <c r="B90" s="200"/>
      <c r="C90" s="40"/>
      <c r="D90" s="43"/>
      <c r="E90" s="41"/>
      <c r="F90" s="83"/>
    </row>
    <row r="91" spans="1:6" ht="45" customHeight="1">
      <c r="A91" s="37" t="s">
        <v>1002</v>
      </c>
      <c r="B91" s="49" t="s">
        <v>1003</v>
      </c>
      <c r="C91" s="40"/>
      <c r="D91" s="43"/>
      <c r="E91" s="41"/>
      <c r="F91" s="83"/>
    </row>
    <row r="92" spans="1:6" ht="18" customHeight="1">
      <c r="A92" s="37" t="s">
        <v>1004</v>
      </c>
      <c r="B92" s="200" t="s">
        <v>1005</v>
      </c>
      <c r="C92" s="40">
        <v>3</v>
      </c>
      <c r="D92" s="40" t="s">
        <v>699</v>
      </c>
      <c r="E92" s="41"/>
      <c r="F92" s="83">
        <f t="shared" ref="F92:F96" si="4">C92*E92</f>
        <v>0</v>
      </c>
    </row>
    <row r="93" spans="1:6" ht="18" customHeight="1">
      <c r="A93" s="37"/>
      <c r="B93" s="200"/>
      <c r="C93" s="40"/>
      <c r="D93" s="40"/>
      <c r="E93" s="41"/>
      <c r="F93" s="83"/>
    </row>
    <row r="94" spans="1:6" ht="45" customHeight="1">
      <c r="A94" s="37" t="s">
        <v>1006</v>
      </c>
      <c r="B94" s="49" t="s">
        <v>1007</v>
      </c>
      <c r="C94" s="40"/>
      <c r="D94" s="43"/>
      <c r="E94" s="41"/>
      <c r="F94" s="83"/>
    </row>
    <row r="95" spans="1:6" ht="18" customHeight="1">
      <c r="A95" s="37" t="s">
        <v>1008</v>
      </c>
      <c r="B95" s="200" t="s">
        <v>1009</v>
      </c>
      <c r="C95" s="40">
        <v>6</v>
      </c>
      <c r="D95" s="40" t="s">
        <v>699</v>
      </c>
      <c r="E95" s="41"/>
      <c r="F95" s="83">
        <f t="shared" si="4"/>
        <v>0</v>
      </c>
    </row>
    <row r="96" spans="1:6" ht="18" customHeight="1">
      <c r="A96" s="37" t="s">
        <v>1010</v>
      </c>
      <c r="B96" s="200" t="s">
        <v>1011</v>
      </c>
      <c r="C96" s="40">
        <v>3</v>
      </c>
      <c r="D96" s="40" t="s">
        <v>699</v>
      </c>
      <c r="E96" s="41"/>
      <c r="F96" s="83">
        <f t="shared" si="4"/>
        <v>0</v>
      </c>
    </row>
    <row r="97" spans="1:6" ht="18" customHeight="1">
      <c r="A97" s="37"/>
      <c r="B97" s="200"/>
      <c r="C97" s="40"/>
      <c r="D97" s="43"/>
      <c r="E97" s="41"/>
      <c r="F97" s="83"/>
    </row>
    <row r="98" spans="1:6" ht="18" customHeight="1">
      <c r="A98" s="37"/>
      <c r="B98" s="200"/>
      <c r="C98" s="40"/>
      <c r="D98" s="43"/>
      <c r="E98" s="41"/>
      <c r="F98" s="83"/>
    </row>
    <row r="99" spans="1:6" ht="15" customHeight="1">
      <c r="A99" s="44"/>
      <c r="B99" s="45"/>
      <c r="C99" s="46"/>
      <c r="D99" s="196"/>
      <c r="E99" s="47"/>
      <c r="F99" s="107"/>
    </row>
    <row r="100" spans="1:6" ht="22.7" customHeight="1">
      <c r="A100" s="470" t="s">
        <v>1012</v>
      </c>
      <c r="B100" s="467"/>
      <c r="C100" s="468"/>
      <c r="D100" s="467"/>
      <c r="E100" s="468"/>
      <c r="F100" s="111">
        <f>SUM(F15:F96)</f>
        <v>0</v>
      </c>
    </row>
  </sheetData>
  <mergeCells count="1">
    <mergeCell ref="A100:E100"/>
  </mergeCells>
  <phoneticPr fontId="34" type="noConversion"/>
  <printOptions horizontalCentered="1"/>
  <pageMargins left="0.55118110236220497" right="0.35433070866141703" top="0.98425196850393704" bottom="0.98425196850393704" header="0.511811023622047" footer="0.511811023622047"/>
  <pageSetup paperSize="9" scale="79" fitToHeight="0" orientation="portrait" r:id="rId1"/>
  <headerFooter>
    <oddFooter>&amp;RBQ-F-P.&amp;P/&amp;N</oddFooter>
  </headerFooter>
  <rowBreaks count="2" manualBreakCount="2">
    <brk id="30" max="16383" man="1"/>
    <brk id="8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4"/>
  <sheetViews>
    <sheetView showZeros="0" view="pageBreakPreview" zoomScaleNormal="100" workbookViewId="0">
      <selection activeCell="F264" sqref="A264:F264"/>
    </sheetView>
  </sheetViews>
  <sheetFormatPr defaultColWidth="9.33203125" defaultRowHeight="16.5"/>
  <cols>
    <col min="1" max="1" width="8.83203125" style="348" customWidth="1"/>
    <col min="2" max="2" width="74.1640625" style="348" customWidth="1"/>
    <col min="3" max="3" width="9.5" style="349" customWidth="1"/>
    <col min="4" max="4" width="8" style="349" customWidth="1"/>
    <col min="5" max="5" width="13" style="364" customWidth="1"/>
    <col min="6" max="6" width="18.6640625" style="365" customWidth="1"/>
    <col min="7" max="16384" width="9.33203125" style="348"/>
  </cols>
  <sheetData>
    <row r="1" spans="1:7" ht="20.100000000000001" customHeight="1">
      <c r="A1" s="346"/>
      <c r="B1" s="347"/>
      <c r="C1" s="348"/>
      <c r="E1" s="348"/>
      <c r="F1" s="350" t="s">
        <v>0</v>
      </c>
    </row>
    <row r="2" spans="1:7" ht="20.100000000000001" customHeight="1">
      <c r="A2" s="346"/>
      <c r="B2" s="347"/>
      <c r="C2" s="348"/>
      <c r="E2" s="348"/>
      <c r="F2" s="350" t="s">
        <v>1425</v>
      </c>
    </row>
    <row r="3" spans="1:7" ht="20.100000000000001" customHeight="1">
      <c r="A3" s="351"/>
      <c r="B3" s="352"/>
      <c r="C3" s="353"/>
      <c r="D3" s="354"/>
      <c r="E3" s="353"/>
      <c r="F3" s="355" t="s">
        <v>1426</v>
      </c>
    </row>
    <row r="4" spans="1:7" ht="20.100000000000001" customHeight="1">
      <c r="A4" s="356" t="s">
        <v>1427</v>
      </c>
      <c r="B4" s="357"/>
      <c r="C4" s="357"/>
      <c r="D4" s="358"/>
      <c r="E4" s="348"/>
      <c r="F4" s="359"/>
    </row>
    <row r="5" spans="1:7" ht="8.25" customHeight="1">
      <c r="A5" s="360"/>
      <c r="B5" s="357"/>
      <c r="C5" s="357"/>
      <c r="D5" s="361"/>
      <c r="E5" s="348"/>
      <c r="F5" s="362"/>
      <c r="G5" s="363"/>
    </row>
    <row r="6" spans="1:7" ht="20.100000000000001" customHeight="1">
      <c r="A6" s="360" t="s">
        <v>1428</v>
      </c>
      <c r="B6" s="357"/>
      <c r="C6" s="361"/>
    </row>
    <row r="7" spans="1:7" ht="33" customHeight="1">
      <c r="A7" s="366" t="s">
        <v>166</v>
      </c>
      <c r="B7" s="367" t="s">
        <v>167</v>
      </c>
      <c r="C7" s="366" t="s">
        <v>168</v>
      </c>
      <c r="D7" s="366" t="s">
        <v>169</v>
      </c>
      <c r="E7" s="368" t="s">
        <v>1429</v>
      </c>
      <c r="F7" s="369" t="s">
        <v>1430</v>
      </c>
    </row>
    <row r="8" spans="1:7" ht="27" customHeight="1">
      <c r="A8" s="370"/>
      <c r="B8" s="371" t="s">
        <v>170</v>
      </c>
      <c r="C8" s="372"/>
      <c r="D8" s="372"/>
      <c r="E8" s="373"/>
      <c r="F8" s="374"/>
    </row>
    <row r="9" spans="1:7" ht="78.75" customHeight="1">
      <c r="A9" s="375" t="s">
        <v>171</v>
      </c>
      <c r="B9" s="341" t="s">
        <v>1431</v>
      </c>
      <c r="C9" s="376"/>
      <c r="D9" s="376"/>
      <c r="E9" s="377"/>
      <c r="F9" s="378"/>
    </row>
    <row r="10" spans="1:7" ht="66.75" customHeight="1">
      <c r="A10" s="375" t="s">
        <v>171</v>
      </c>
      <c r="B10" s="379" t="s">
        <v>1432</v>
      </c>
      <c r="C10" s="376"/>
      <c r="D10" s="376"/>
      <c r="E10" s="377"/>
      <c r="F10" s="378"/>
    </row>
    <row r="11" spans="1:7" ht="15" customHeight="1">
      <c r="A11" s="380"/>
      <c r="B11" s="341"/>
      <c r="C11" s="376"/>
      <c r="D11" s="376"/>
      <c r="E11" s="377"/>
      <c r="F11" s="378"/>
    </row>
    <row r="12" spans="1:7" ht="20.100000000000001" customHeight="1">
      <c r="A12" s="380" t="s">
        <v>1433</v>
      </c>
      <c r="B12" s="381" t="s">
        <v>1434</v>
      </c>
      <c r="C12" s="376"/>
      <c r="D12" s="376"/>
      <c r="E12" s="377"/>
      <c r="F12" s="378"/>
    </row>
    <row r="13" spans="1:7" ht="19.5" customHeight="1">
      <c r="A13" s="380" t="s">
        <v>1435</v>
      </c>
      <c r="B13" s="341" t="s">
        <v>1436</v>
      </c>
      <c r="C13" s="376">
        <v>1</v>
      </c>
      <c r="D13" s="376" t="s">
        <v>1437</v>
      </c>
      <c r="E13" s="377"/>
      <c r="F13" s="378"/>
    </row>
    <row r="14" spans="1:7" ht="214.5">
      <c r="A14" s="380"/>
      <c r="B14" s="341" t="s">
        <v>1438</v>
      </c>
      <c r="C14" s="376"/>
      <c r="D14" s="376"/>
      <c r="E14" s="377"/>
      <c r="F14" s="378"/>
    </row>
    <row r="15" spans="1:7">
      <c r="A15" s="380"/>
      <c r="B15" s="341"/>
      <c r="C15" s="376"/>
      <c r="D15" s="376"/>
      <c r="E15" s="377"/>
      <c r="F15" s="378"/>
    </row>
    <row r="16" spans="1:7" ht="24.75" customHeight="1">
      <c r="A16" s="380" t="s">
        <v>1439</v>
      </c>
      <c r="B16" s="341" t="s">
        <v>1440</v>
      </c>
      <c r="C16" s="376">
        <v>4</v>
      </c>
      <c r="D16" s="382" t="s">
        <v>1437</v>
      </c>
      <c r="E16" s="377"/>
      <c r="F16" s="378"/>
    </row>
    <row r="17" spans="1:6" ht="214.5">
      <c r="A17" s="380"/>
      <c r="B17" s="341" t="s">
        <v>1438</v>
      </c>
      <c r="C17" s="376"/>
      <c r="D17" s="376"/>
      <c r="E17" s="377"/>
      <c r="F17" s="378"/>
    </row>
    <row r="18" spans="1:6" ht="20.100000000000001" customHeight="1">
      <c r="A18" s="383"/>
      <c r="B18" s="384"/>
      <c r="C18" s="385"/>
      <c r="D18" s="386"/>
      <c r="E18" s="387"/>
      <c r="F18" s="388">
        <f t="shared" ref="F18:F36" si="0">C18*E18</f>
        <v>0</v>
      </c>
    </row>
    <row r="19" spans="1:6" ht="20.100000000000001" customHeight="1">
      <c r="A19" s="380" t="s">
        <v>1441</v>
      </c>
      <c r="B19" s="341" t="s">
        <v>1442</v>
      </c>
      <c r="C19" s="376">
        <v>5</v>
      </c>
      <c r="D19" s="382" t="s">
        <v>1443</v>
      </c>
      <c r="E19" s="377"/>
      <c r="F19" s="378"/>
    </row>
    <row r="20" spans="1:6" ht="165">
      <c r="A20" s="380"/>
      <c r="B20" s="341" t="s">
        <v>1444</v>
      </c>
      <c r="C20" s="376"/>
      <c r="D20" s="382"/>
      <c r="E20" s="377"/>
      <c r="F20" s="378"/>
    </row>
    <row r="21" spans="1:6" ht="20.100000000000001" customHeight="1">
      <c r="A21" s="380"/>
      <c r="B21" s="341"/>
      <c r="C21" s="376"/>
      <c r="D21" s="382"/>
      <c r="E21" s="377"/>
      <c r="F21" s="378"/>
    </row>
    <row r="22" spans="1:6" ht="20.100000000000001" customHeight="1">
      <c r="A22" s="380" t="s">
        <v>1445</v>
      </c>
      <c r="B22" s="341" t="s">
        <v>1446</v>
      </c>
      <c r="C22" s="376">
        <v>5</v>
      </c>
      <c r="D22" s="382" t="s">
        <v>1437</v>
      </c>
      <c r="E22" s="377"/>
      <c r="F22" s="378">
        <f>C22*E22</f>
        <v>0</v>
      </c>
    </row>
    <row r="23" spans="1:6" ht="409.5">
      <c r="A23" s="380"/>
      <c r="B23" s="341" t="s">
        <v>1447</v>
      </c>
      <c r="C23" s="376"/>
      <c r="D23" s="382"/>
      <c r="E23" s="377"/>
      <c r="F23" s="378">
        <f t="shared" si="0"/>
        <v>0</v>
      </c>
    </row>
    <row r="24" spans="1:6" ht="8.25" customHeight="1">
      <c r="A24" s="380"/>
      <c r="B24" s="341"/>
      <c r="C24" s="376"/>
      <c r="D24" s="382"/>
      <c r="E24" s="377"/>
      <c r="F24" s="378">
        <f t="shared" si="0"/>
        <v>0</v>
      </c>
    </row>
    <row r="25" spans="1:6" ht="20.100000000000001" customHeight="1">
      <c r="A25" s="380" t="s">
        <v>1448</v>
      </c>
      <c r="B25" s="341" t="s">
        <v>1449</v>
      </c>
      <c r="C25" s="376">
        <v>10</v>
      </c>
      <c r="D25" s="382" t="s">
        <v>1437</v>
      </c>
      <c r="E25" s="377"/>
      <c r="F25" s="378">
        <f>C25*E25</f>
        <v>0</v>
      </c>
    </row>
    <row r="26" spans="1:6" ht="132">
      <c r="A26" s="380"/>
      <c r="B26" s="341" t="s">
        <v>1450</v>
      </c>
      <c r="C26" s="376"/>
      <c r="D26" s="382"/>
      <c r="E26" s="377"/>
      <c r="F26" s="378">
        <f t="shared" si="0"/>
        <v>0</v>
      </c>
    </row>
    <row r="27" spans="1:6" ht="11.25" customHeight="1">
      <c r="A27" s="383"/>
      <c r="B27" s="384"/>
      <c r="C27" s="385"/>
      <c r="D27" s="386"/>
      <c r="E27" s="387"/>
      <c r="F27" s="388">
        <f t="shared" si="0"/>
        <v>0</v>
      </c>
    </row>
    <row r="28" spans="1:6" ht="20.100000000000001" customHeight="1">
      <c r="A28" s="380" t="s">
        <v>1451</v>
      </c>
      <c r="B28" s="341" t="s">
        <v>1452</v>
      </c>
      <c r="C28" s="376">
        <v>4</v>
      </c>
      <c r="D28" s="382" t="s">
        <v>1437</v>
      </c>
      <c r="E28" s="377"/>
      <c r="F28" s="378"/>
    </row>
    <row r="29" spans="1:6" ht="214.5">
      <c r="A29" s="380"/>
      <c r="B29" s="341" t="s">
        <v>1453</v>
      </c>
      <c r="C29" s="376"/>
      <c r="D29" s="382"/>
      <c r="E29" s="377"/>
      <c r="F29" s="378"/>
    </row>
    <row r="30" spans="1:6" ht="20.100000000000001" customHeight="1">
      <c r="A30" s="380"/>
      <c r="B30" s="341"/>
      <c r="C30" s="376"/>
      <c r="D30" s="382"/>
      <c r="E30" s="377"/>
      <c r="F30" s="378"/>
    </row>
    <row r="31" spans="1:6" ht="20.100000000000001" customHeight="1">
      <c r="A31" s="380" t="s">
        <v>1454</v>
      </c>
      <c r="B31" s="341" t="s">
        <v>1455</v>
      </c>
      <c r="C31" s="376">
        <v>2</v>
      </c>
      <c r="D31" s="382" t="s">
        <v>1437</v>
      </c>
      <c r="E31" s="377"/>
      <c r="F31" s="378">
        <f>C31*E31</f>
        <v>0</v>
      </c>
    </row>
    <row r="32" spans="1:6" ht="181.5">
      <c r="A32" s="380"/>
      <c r="B32" s="341" t="s">
        <v>1456</v>
      </c>
      <c r="C32" s="376"/>
      <c r="D32" s="382"/>
      <c r="E32" s="377"/>
      <c r="F32" s="378">
        <f t="shared" ref="F32" si="1">C32*E32</f>
        <v>0</v>
      </c>
    </row>
    <row r="33" spans="1:6" ht="20.100000000000001" customHeight="1">
      <c r="A33" s="380"/>
      <c r="B33" s="341"/>
      <c r="C33" s="376"/>
      <c r="D33" s="382"/>
      <c r="E33" s="377"/>
      <c r="F33" s="378"/>
    </row>
    <row r="34" spans="1:6" ht="20.100000000000001" customHeight="1">
      <c r="A34" s="380" t="s">
        <v>1457</v>
      </c>
      <c r="B34" s="341" t="s">
        <v>1458</v>
      </c>
      <c r="C34" s="376">
        <v>1</v>
      </c>
      <c r="D34" s="382" t="s">
        <v>1437</v>
      </c>
      <c r="E34" s="377"/>
      <c r="F34" s="378">
        <f>C34*E34</f>
        <v>0</v>
      </c>
    </row>
    <row r="35" spans="1:6" ht="181.5">
      <c r="A35" s="380"/>
      <c r="B35" s="341" t="s">
        <v>1456</v>
      </c>
      <c r="C35" s="376"/>
      <c r="D35" s="382"/>
      <c r="E35" s="377"/>
      <c r="F35" s="378">
        <f t="shared" si="0"/>
        <v>0</v>
      </c>
    </row>
    <row r="36" spans="1:6" ht="20.100000000000001" customHeight="1">
      <c r="A36" s="383"/>
      <c r="B36" s="384"/>
      <c r="C36" s="385"/>
      <c r="D36" s="386"/>
      <c r="E36" s="387"/>
      <c r="F36" s="388">
        <f t="shared" si="0"/>
        <v>0</v>
      </c>
    </row>
    <row r="37" spans="1:6" ht="20.100000000000001" customHeight="1">
      <c r="A37" s="380" t="s">
        <v>1459</v>
      </c>
      <c r="B37" s="341" t="s">
        <v>1460</v>
      </c>
      <c r="C37" s="376">
        <v>2</v>
      </c>
      <c r="D37" s="382" t="s">
        <v>1461</v>
      </c>
      <c r="E37" s="377"/>
      <c r="F37" s="378"/>
    </row>
    <row r="38" spans="1:6" ht="181.5">
      <c r="A38" s="380"/>
      <c r="B38" s="341" t="s">
        <v>1456</v>
      </c>
      <c r="C38" s="376"/>
      <c r="D38" s="382"/>
      <c r="E38" s="377"/>
      <c r="F38" s="378"/>
    </row>
    <row r="39" spans="1:6" ht="20.100000000000001" customHeight="1">
      <c r="A39" s="380"/>
      <c r="B39" s="341"/>
      <c r="C39" s="376"/>
      <c r="D39" s="382"/>
      <c r="E39" s="377"/>
      <c r="F39" s="378">
        <f t="shared" ref="F39:F46" si="2">C39*E39</f>
        <v>0</v>
      </c>
    </row>
    <row r="40" spans="1:6" ht="20.100000000000001" customHeight="1">
      <c r="A40" s="380" t="s">
        <v>1462</v>
      </c>
      <c r="B40" s="341" t="s">
        <v>1463</v>
      </c>
      <c r="C40" s="376">
        <v>14</v>
      </c>
      <c r="D40" s="382" t="s">
        <v>1437</v>
      </c>
      <c r="E40" s="377"/>
      <c r="F40" s="378">
        <f>C40*E40</f>
        <v>0</v>
      </c>
    </row>
    <row r="41" spans="1:6" ht="132">
      <c r="A41" s="380"/>
      <c r="B41" s="341" t="s">
        <v>1450</v>
      </c>
      <c r="C41" s="376"/>
      <c r="D41" s="382"/>
      <c r="E41" s="377"/>
      <c r="F41" s="378">
        <f t="shared" si="2"/>
        <v>0</v>
      </c>
    </row>
    <row r="42" spans="1:6" ht="20.100000000000001" customHeight="1">
      <c r="A42" s="380"/>
      <c r="B42" s="341"/>
      <c r="C42" s="376"/>
      <c r="D42" s="382"/>
      <c r="E42" s="377"/>
      <c r="F42" s="378">
        <f t="shared" si="2"/>
        <v>0</v>
      </c>
    </row>
    <row r="43" spans="1:6" ht="20.100000000000001" customHeight="1">
      <c r="A43" s="389" t="s">
        <v>1464</v>
      </c>
      <c r="B43" s="381" t="s">
        <v>1465</v>
      </c>
      <c r="C43" s="376"/>
      <c r="D43" s="382"/>
      <c r="E43" s="377"/>
      <c r="F43" s="378">
        <f t="shared" si="2"/>
        <v>0</v>
      </c>
    </row>
    <row r="44" spans="1:6" ht="20.100000000000001" customHeight="1">
      <c r="A44" s="380" t="s">
        <v>1466</v>
      </c>
      <c r="B44" s="348" t="s">
        <v>1467</v>
      </c>
      <c r="C44" s="376">
        <v>1</v>
      </c>
      <c r="D44" s="382" t="s">
        <v>1437</v>
      </c>
      <c r="E44" s="377"/>
      <c r="F44" s="378">
        <f t="shared" si="2"/>
        <v>0</v>
      </c>
    </row>
    <row r="45" spans="1:6" ht="49.5">
      <c r="A45" s="380"/>
      <c r="B45" s="341" t="s">
        <v>1468</v>
      </c>
      <c r="C45" s="376"/>
      <c r="D45" s="382"/>
      <c r="E45" s="377"/>
      <c r="F45" s="378">
        <f t="shared" si="2"/>
        <v>0</v>
      </c>
    </row>
    <row r="46" spans="1:6" ht="20.100000000000001" customHeight="1">
      <c r="A46" s="380"/>
      <c r="B46" s="341"/>
      <c r="C46" s="376"/>
      <c r="D46" s="382"/>
      <c r="E46" s="377"/>
      <c r="F46" s="378">
        <f t="shared" si="2"/>
        <v>0</v>
      </c>
    </row>
    <row r="47" spans="1:6" ht="20.100000000000001" customHeight="1">
      <c r="A47" s="380" t="s">
        <v>1469</v>
      </c>
      <c r="B47" s="341" t="s">
        <v>1470</v>
      </c>
      <c r="C47" s="376">
        <v>1</v>
      </c>
      <c r="D47" s="382" t="s">
        <v>1461</v>
      </c>
      <c r="E47" s="377"/>
      <c r="F47" s="378"/>
    </row>
    <row r="48" spans="1:6" ht="20.100000000000001" customHeight="1">
      <c r="A48" s="380"/>
      <c r="B48" s="341" t="s">
        <v>1471</v>
      </c>
      <c r="C48" s="376"/>
      <c r="D48" s="382"/>
      <c r="E48" s="377"/>
      <c r="F48" s="378"/>
    </row>
    <row r="49" spans="1:6" ht="20.100000000000001" customHeight="1">
      <c r="A49" s="380"/>
      <c r="B49" s="341"/>
      <c r="C49" s="376"/>
      <c r="D49" s="382"/>
      <c r="E49" s="377"/>
      <c r="F49" s="378">
        <f>C49*E49</f>
        <v>0</v>
      </c>
    </row>
    <row r="50" spans="1:6" ht="20.100000000000001" customHeight="1">
      <c r="A50" s="380" t="s">
        <v>1472</v>
      </c>
      <c r="B50" s="341" t="s">
        <v>1473</v>
      </c>
      <c r="C50" s="376">
        <v>3</v>
      </c>
      <c r="D50" s="382" t="s">
        <v>1461</v>
      </c>
      <c r="E50" s="377"/>
      <c r="F50" s="378"/>
    </row>
    <row r="51" spans="1:6" ht="20.100000000000001" customHeight="1">
      <c r="A51" s="380"/>
      <c r="B51" s="341" t="s">
        <v>1471</v>
      </c>
      <c r="C51" s="376"/>
      <c r="D51" s="382"/>
      <c r="E51" s="377"/>
      <c r="F51" s="378"/>
    </row>
    <row r="52" spans="1:6" ht="20.100000000000001" customHeight="1">
      <c r="A52" s="383"/>
      <c r="B52" s="384"/>
      <c r="C52" s="385"/>
      <c r="D52" s="386"/>
      <c r="E52" s="387"/>
      <c r="F52" s="388"/>
    </row>
    <row r="53" spans="1:6" ht="20.100000000000001" customHeight="1">
      <c r="A53" s="380" t="s">
        <v>1474</v>
      </c>
      <c r="B53" s="341" t="s">
        <v>1475</v>
      </c>
      <c r="C53" s="376">
        <v>1</v>
      </c>
      <c r="D53" s="382" t="s">
        <v>1476</v>
      </c>
      <c r="E53" s="377"/>
      <c r="F53" s="378"/>
    </row>
    <row r="54" spans="1:6" ht="148.5">
      <c r="A54" s="380"/>
      <c r="B54" s="341" t="s">
        <v>1477</v>
      </c>
      <c r="C54" s="376"/>
      <c r="D54" s="382"/>
      <c r="E54" s="377"/>
      <c r="F54" s="378"/>
    </row>
    <row r="55" spans="1:6" ht="20.100000000000001" customHeight="1">
      <c r="A55" s="380"/>
      <c r="B55" s="341"/>
      <c r="C55" s="376"/>
      <c r="D55" s="382"/>
      <c r="E55" s="377"/>
      <c r="F55" s="378"/>
    </row>
    <row r="56" spans="1:6" ht="20.100000000000001" customHeight="1">
      <c r="A56" s="380" t="s">
        <v>1478</v>
      </c>
      <c r="B56" s="341" t="s">
        <v>1479</v>
      </c>
      <c r="C56" s="376">
        <v>5</v>
      </c>
      <c r="D56" s="382" t="s">
        <v>1461</v>
      </c>
      <c r="E56" s="377"/>
      <c r="F56" s="378"/>
    </row>
    <row r="57" spans="1:6" ht="33">
      <c r="A57" s="380"/>
      <c r="B57" s="341" t="s">
        <v>1480</v>
      </c>
      <c r="C57" s="376"/>
      <c r="D57" s="382"/>
      <c r="E57" s="377"/>
      <c r="F57" s="378"/>
    </row>
    <row r="58" spans="1:6" ht="20.100000000000001" customHeight="1">
      <c r="A58" s="380"/>
      <c r="B58" s="341"/>
      <c r="C58" s="376"/>
      <c r="D58" s="382"/>
      <c r="E58" s="377"/>
      <c r="F58" s="378">
        <f t="shared" ref="F58:F94" si="3">C58*E58</f>
        <v>0</v>
      </c>
    </row>
    <row r="59" spans="1:6" ht="20.100000000000001" customHeight="1">
      <c r="A59" s="389" t="s">
        <v>1481</v>
      </c>
      <c r="B59" s="381" t="s">
        <v>1482</v>
      </c>
      <c r="C59" s="376"/>
      <c r="D59" s="382"/>
      <c r="E59" s="377"/>
      <c r="F59" s="378">
        <f t="shared" si="3"/>
        <v>0</v>
      </c>
    </row>
    <row r="60" spans="1:6" ht="20.100000000000001" customHeight="1">
      <c r="A60" s="380" t="s">
        <v>1483</v>
      </c>
      <c r="B60" s="341" t="s">
        <v>1484</v>
      </c>
      <c r="C60" s="376">
        <v>6</v>
      </c>
      <c r="D60" s="382" t="s">
        <v>1485</v>
      </c>
      <c r="E60" s="377"/>
      <c r="F60" s="378">
        <f t="shared" si="3"/>
        <v>0</v>
      </c>
    </row>
    <row r="61" spans="1:6" ht="247.5">
      <c r="A61" s="380"/>
      <c r="B61" s="341" t="s">
        <v>1486</v>
      </c>
      <c r="C61" s="376"/>
      <c r="D61" s="382"/>
      <c r="E61" s="377"/>
      <c r="F61" s="378">
        <f t="shared" si="3"/>
        <v>0</v>
      </c>
    </row>
    <row r="62" spans="1:6" ht="24.95" customHeight="1">
      <c r="A62" s="380"/>
      <c r="B62" s="341"/>
      <c r="C62" s="376"/>
      <c r="D62" s="382"/>
      <c r="E62" s="377"/>
      <c r="F62" s="378">
        <f t="shared" si="3"/>
        <v>0</v>
      </c>
    </row>
    <row r="63" spans="1:6" ht="24.95" customHeight="1">
      <c r="A63" s="380" t="s">
        <v>1487</v>
      </c>
      <c r="B63" s="341" t="s">
        <v>1488</v>
      </c>
      <c r="C63" s="376">
        <v>6</v>
      </c>
      <c r="D63" s="382" t="s">
        <v>1443</v>
      </c>
      <c r="E63" s="377"/>
      <c r="F63" s="378"/>
    </row>
    <row r="64" spans="1:6" ht="181.5">
      <c r="A64" s="380"/>
      <c r="B64" s="341" t="s">
        <v>1489</v>
      </c>
      <c r="C64" s="376"/>
      <c r="D64" s="382"/>
      <c r="E64" s="377"/>
      <c r="F64" s="378"/>
    </row>
    <row r="65" spans="1:6" ht="24.95" customHeight="1">
      <c r="A65" s="383"/>
      <c r="B65" s="384"/>
      <c r="C65" s="385"/>
      <c r="D65" s="386"/>
      <c r="E65" s="387"/>
      <c r="F65" s="388"/>
    </row>
    <row r="66" spans="1:6" ht="20.100000000000001" customHeight="1">
      <c r="A66" s="380" t="s">
        <v>1490</v>
      </c>
      <c r="B66" s="341" t="s">
        <v>1491</v>
      </c>
      <c r="C66" s="376">
        <v>6</v>
      </c>
      <c r="D66" s="382" t="s">
        <v>1461</v>
      </c>
      <c r="E66" s="377"/>
      <c r="F66" s="378">
        <f t="shared" si="3"/>
        <v>0</v>
      </c>
    </row>
    <row r="67" spans="1:6" ht="313.5">
      <c r="A67" s="380"/>
      <c r="B67" s="341" t="s">
        <v>1492</v>
      </c>
      <c r="C67" s="376"/>
      <c r="D67" s="382"/>
      <c r="E67" s="377"/>
      <c r="F67" s="378">
        <f t="shared" si="3"/>
        <v>0</v>
      </c>
    </row>
    <row r="68" spans="1:6" ht="20.100000000000001" customHeight="1">
      <c r="A68" s="380"/>
      <c r="B68" s="341"/>
      <c r="C68" s="376"/>
      <c r="D68" s="382"/>
      <c r="E68" s="377"/>
      <c r="F68" s="378">
        <f t="shared" si="3"/>
        <v>0</v>
      </c>
    </row>
    <row r="69" spans="1:6" ht="20.100000000000001" customHeight="1">
      <c r="A69" s="380" t="s">
        <v>1493</v>
      </c>
      <c r="B69" s="341" t="s">
        <v>1460</v>
      </c>
      <c r="C69" s="376">
        <v>6</v>
      </c>
      <c r="D69" s="382" t="s">
        <v>1461</v>
      </c>
      <c r="E69" s="377"/>
      <c r="F69" s="378">
        <f t="shared" si="3"/>
        <v>0</v>
      </c>
    </row>
    <row r="70" spans="1:6" ht="231">
      <c r="A70" s="380"/>
      <c r="B70" s="341" t="s">
        <v>1494</v>
      </c>
      <c r="C70" s="376"/>
      <c r="D70" s="382"/>
      <c r="E70" s="377"/>
      <c r="F70" s="378">
        <f t="shared" si="3"/>
        <v>0</v>
      </c>
    </row>
    <row r="71" spans="1:6" ht="20.100000000000001" customHeight="1">
      <c r="A71" s="380"/>
      <c r="B71" s="341"/>
      <c r="C71" s="376"/>
      <c r="D71" s="382"/>
      <c r="E71" s="377"/>
      <c r="F71" s="378">
        <f t="shared" si="3"/>
        <v>0</v>
      </c>
    </row>
    <row r="72" spans="1:6" ht="17.25" customHeight="1">
      <c r="A72" s="380" t="s">
        <v>1495</v>
      </c>
      <c r="B72" s="341" t="s">
        <v>1496</v>
      </c>
      <c r="C72" s="376">
        <v>24</v>
      </c>
      <c r="D72" s="382" t="s">
        <v>1437</v>
      </c>
      <c r="E72" s="377"/>
      <c r="F72" s="378">
        <f t="shared" si="3"/>
        <v>0</v>
      </c>
    </row>
    <row r="73" spans="1:6" ht="132">
      <c r="A73" s="380"/>
      <c r="B73" s="341" t="s">
        <v>1450</v>
      </c>
      <c r="C73" s="376"/>
      <c r="D73" s="382"/>
      <c r="E73" s="377"/>
      <c r="F73" s="378">
        <f t="shared" si="3"/>
        <v>0</v>
      </c>
    </row>
    <row r="74" spans="1:6" ht="24.95" customHeight="1">
      <c r="A74" s="383"/>
      <c r="B74" s="384"/>
      <c r="C74" s="385"/>
      <c r="D74" s="386"/>
      <c r="E74" s="387"/>
      <c r="F74" s="388">
        <f t="shared" si="3"/>
        <v>0</v>
      </c>
    </row>
    <row r="75" spans="1:6" ht="20.100000000000001" customHeight="1">
      <c r="A75" s="389" t="s">
        <v>1497</v>
      </c>
      <c r="B75" s="381" t="s">
        <v>1498</v>
      </c>
      <c r="C75" s="376"/>
      <c r="D75" s="382"/>
      <c r="E75" s="377"/>
      <c r="F75" s="378">
        <f t="shared" si="3"/>
        <v>0</v>
      </c>
    </row>
    <row r="76" spans="1:6" ht="20.100000000000001" customHeight="1">
      <c r="A76" s="380" t="s">
        <v>1499</v>
      </c>
      <c r="B76" s="341" t="s">
        <v>1500</v>
      </c>
      <c r="C76" s="376">
        <v>8</v>
      </c>
      <c r="D76" s="382" t="s">
        <v>1485</v>
      </c>
      <c r="E76" s="377"/>
      <c r="F76" s="378">
        <f t="shared" si="3"/>
        <v>0</v>
      </c>
    </row>
    <row r="77" spans="1:6" ht="409.5">
      <c r="A77" s="380"/>
      <c r="B77" s="341" t="s">
        <v>1501</v>
      </c>
      <c r="C77" s="376"/>
      <c r="D77" s="382"/>
      <c r="E77" s="377"/>
      <c r="F77" s="378">
        <f t="shared" si="3"/>
        <v>0</v>
      </c>
    </row>
    <row r="78" spans="1:6" ht="10.5" customHeight="1">
      <c r="A78" s="383"/>
      <c r="B78" s="384"/>
      <c r="C78" s="385"/>
      <c r="D78" s="386"/>
      <c r="E78" s="387"/>
      <c r="F78" s="388">
        <f t="shared" si="3"/>
        <v>0</v>
      </c>
    </row>
    <row r="79" spans="1:6" ht="20.100000000000001" customHeight="1">
      <c r="A79" s="380" t="s">
        <v>1502</v>
      </c>
      <c r="B79" s="341" t="s">
        <v>1503</v>
      </c>
      <c r="C79" s="376">
        <v>8</v>
      </c>
      <c r="D79" s="382" t="s">
        <v>1461</v>
      </c>
      <c r="E79" s="377"/>
      <c r="F79" s="378">
        <f t="shared" si="3"/>
        <v>0</v>
      </c>
    </row>
    <row r="80" spans="1:6" ht="313.5">
      <c r="A80" s="380"/>
      <c r="B80" s="341" t="s">
        <v>1492</v>
      </c>
      <c r="C80" s="376"/>
      <c r="D80" s="382"/>
      <c r="E80" s="377"/>
      <c r="F80" s="378">
        <f t="shared" si="3"/>
        <v>0</v>
      </c>
    </row>
    <row r="81" spans="1:6">
      <c r="A81" s="380"/>
      <c r="B81" s="341"/>
      <c r="C81" s="376"/>
      <c r="D81" s="382"/>
      <c r="E81" s="377"/>
      <c r="F81" s="378"/>
    </row>
    <row r="82" spans="1:6">
      <c r="A82" s="380" t="s">
        <v>1504</v>
      </c>
      <c r="B82" s="341" t="s">
        <v>1460</v>
      </c>
      <c r="C82" s="376">
        <v>8</v>
      </c>
      <c r="D82" s="382" t="s">
        <v>1461</v>
      </c>
      <c r="E82" s="377"/>
      <c r="F82" s="378"/>
    </row>
    <row r="83" spans="1:6" ht="181.5">
      <c r="A83" s="380"/>
      <c r="B83" s="341" t="s">
        <v>1505</v>
      </c>
      <c r="C83" s="376"/>
      <c r="D83" s="382"/>
      <c r="E83" s="377"/>
      <c r="F83" s="378"/>
    </row>
    <row r="84" spans="1:6">
      <c r="A84" s="380"/>
      <c r="B84" s="341"/>
      <c r="C84" s="376"/>
      <c r="D84" s="382"/>
      <c r="E84" s="377"/>
      <c r="F84" s="378"/>
    </row>
    <row r="85" spans="1:6">
      <c r="A85" s="380" t="s">
        <v>1506</v>
      </c>
      <c r="B85" s="341" t="s">
        <v>1507</v>
      </c>
      <c r="C85" s="376">
        <v>16</v>
      </c>
      <c r="D85" s="382" t="s">
        <v>1437</v>
      </c>
      <c r="E85" s="377"/>
      <c r="F85" s="378"/>
    </row>
    <row r="86" spans="1:6" ht="148.5">
      <c r="A86" s="380"/>
      <c r="B86" s="341" t="s">
        <v>1508</v>
      </c>
      <c r="C86" s="376"/>
      <c r="D86" s="382"/>
      <c r="E86" s="377"/>
      <c r="F86" s="378">
        <f t="shared" si="3"/>
        <v>0</v>
      </c>
    </row>
    <row r="87" spans="1:6">
      <c r="A87" s="383"/>
      <c r="B87" s="384"/>
      <c r="C87" s="385"/>
      <c r="D87" s="386"/>
      <c r="E87" s="387"/>
      <c r="F87" s="388"/>
    </row>
    <row r="88" spans="1:6" ht="20.100000000000001" customHeight="1">
      <c r="A88" s="389" t="s">
        <v>1509</v>
      </c>
      <c r="B88" s="381" t="s">
        <v>1510</v>
      </c>
      <c r="C88" s="376"/>
      <c r="D88" s="382"/>
      <c r="E88" s="377"/>
      <c r="F88" s="378">
        <f t="shared" si="3"/>
        <v>0</v>
      </c>
    </row>
    <row r="89" spans="1:6" ht="20.100000000000001" customHeight="1">
      <c r="A89" s="380" t="s">
        <v>1511</v>
      </c>
      <c r="B89" s="341" t="s">
        <v>1512</v>
      </c>
      <c r="C89" s="376">
        <v>81</v>
      </c>
      <c r="D89" s="382" t="s">
        <v>1485</v>
      </c>
      <c r="E89" s="377"/>
      <c r="F89" s="378">
        <f t="shared" si="3"/>
        <v>0</v>
      </c>
    </row>
    <row r="90" spans="1:6" ht="20.100000000000001" customHeight="1">
      <c r="A90" s="380"/>
      <c r="B90" s="341" t="s">
        <v>1513</v>
      </c>
      <c r="C90" s="376"/>
      <c r="D90" s="382"/>
      <c r="E90" s="377"/>
      <c r="F90" s="378"/>
    </row>
    <row r="91" spans="1:6" ht="363">
      <c r="A91" s="380"/>
      <c r="B91" s="341" t="s">
        <v>1514</v>
      </c>
      <c r="C91" s="376"/>
      <c r="D91" s="382"/>
      <c r="E91" s="377"/>
      <c r="F91" s="378">
        <f t="shared" si="3"/>
        <v>0</v>
      </c>
    </row>
    <row r="92" spans="1:6" ht="20.100000000000001" customHeight="1">
      <c r="A92" s="380"/>
      <c r="B92" s="341"/>
      <c r="C92" s="376"/>
      <c r="D92" s="382"/>
      <c r="E92" s="377"/>
      <c r="F92" s="378">
        <f t="shared" si="3"/>
        <v>0</v>
      </c>
    </row>
    <row r="93" spans="1:6" ht="20.100000000000001" customHeight="1">
      <c r="A93" s="380" t="s">
        <v>1515</v>
      </c>
      <c r="B93" s="341" t="s">
        <v>1516</v>
      </c>
      <c r="C93" s="376">
        <v>48</v>
      </c>
      <c r="D93" s="382" t="s">
        <v>1485</v>
      </c>
      <c r="E93" s="377"/>
      <c r="F93" s="378">
        <f t="shared" si="3"/>
        <v>0</v>
      </c>
    </row>
    <row r="94" spans="1:6" ht="231">
      <c r="A94" s="380"/>
      <c r="B94" s="341" t="s">
        <v>1517</v>
      </c>
      <c r="C94" s="376"/>
      <c r="D94" s="382"/>
      <c r="E94" s="377"/>
      <c r="F94" s="378">
        <f t="shared" si="3"/>
        <v>0</v>
      </c>
    </row>
    <row r="95" spans="1:6" ht="20.100000000000001" customHeight="1">
      <c r="A95" s="383"/>
      <c r="B95" s="384"/>
      <c r="C95" s="385"/>
      <c r="D95" s="386"/>
      <c r="E95" s="387"/>
      <c r="F95" s="388"/>
    </row>
    <row r="96" spans="1:6" ht="20.100000000000001" customHeight="1">
      <c r="A96" s="380" t="s">
        <v>1518</v>
      </c>
      <c r="B96" s="341" t="s">
        <v>1519</v>
      </c>
      <c r="C96" s="376">
        <v>129</v>
      </c>
      <c r="D96" s="382" t="s">
        <v>1437</v>
      </c>
      <c r="E96" s="377"/>
      <c r="F96" s="378"/>
    </row>
    <row r="97" spans="1:6" ht="181.5">
      <c r="A97" s="380"/>
      <c r="B97" s="379" t="s">
        <v>1520</v>
      </c>
      <c r="C97" s="376"/>
      <c r="D97" s="382"/>
      <c r="E97" s="377"/>
      <c r="F97" s="378">
        <f>C97*E97</f>
        <v>0</v>
      </c>
    </row>
    <row r="98" spans="1:6">
      <c r="A98" s="380"/>
      <c r="B98" s="379"/>
      <c r="C98" s="376"/>
      <c r="D98" s="382"/>
      <c r="E98" s="377"/>
      <c r="F98" s="378"/>
    </row>
    <row r="99" spans="1:6">
      <c r="A99" s="380" t="s">
        <v>1521</v>
      </c>
      <c r="B99" s="379" t="s">
        <v>1522</v>
      </c>
      <c r="C99" s="376">
        <v>30</v>
      </c>
      <c r="D99" s="382" t="s">
        <v>1443</v>
      </c>
      <c r="E99" s="377"/>
      <c r="F99" s="378"/>
    </row>
    <row r="100" spans="1:6" ht="99">
      <c r="A100" s="380"/>
      <c r="B100" s="379" t="s">
        <v>1523</v>
      </c>
      <c r="C100" s="376"/>
      <c r="D100" s="382"/>
      <c r="E100" s="377"/>
      <c r="F100" s="378"/>
    </row>
    <row r="101" spans="1:6">
      <c r="A101" s="380"/>
      <c r="B101" s="379"/>
      <c r="C101" s="376"/>
      <c r="D101" s="382"/>
      <c r="E101" s="377"/>
      <c r="F101" s="378"/>
    </row>
    <row r="102" spans="1:6">
      <c r="A102" s="380" t="s">
        <v>1524</v>
      </c>
      <c r="B102" s="379" t="s">
        <v>1525</v>
      </c>
      <c r="C102" s="376">
        <v>37</v>
      </c>
      <c r="D102" s="382" t="s">
        <v>1443</v>
      </c>
      <c r="E102" s="377"/>
      <c r="F102" s="378"/>
    </row>
    <row r="103" spans="1:6" ht="99">
      <c r="A103" s="380"/>
      <c r="B103" s="379" t="s">
        <v>1523</v>
      </c>
      <c r="C103" s="376"/>
      <c r="D103" s="382"/>
      <c r="E103" s="377"/>
      <c r="F103" s="378"/>
    </row>
    <row r="104" spans="1:6">
      <c r="A104" s="380"/>
      <c r="B104" s="379"/>
      <c r="C104" s="376"/>
      <c r="D104" s="382"/>
      <c r="E104" s="377"/>
      <c r="F104" s="378"/>
    </row>
    <row r="105" spans="1:6" ht="20.100000000000001" customHeight="1">
      <c r="A105" s="389" t="s">
        <v>1526</v>
      </c>
      <c r="B105" s="390" t="s">
        <v>1527</v>
      </c>
      <c r="C105" s="376"/>
      <c r="D105" s="382"/>
      <c r="E105" s="377"/>
      <c r="F105" s="378"/>
    </row>
    <row r="106" spans="1:6" ht="20.100000000000001" customHeight="1">
      <c r="A106" s="380" t="s">
        <v>1528</v>
      </c>
      <c r="B106" s="341" t="s">
        <v>1529</v>
      </c>
      <c r="C106" s="376">
        <v>61</v>
      </c>
      <c r="D106" s="382" t="s">
        <v>1530</v>
      </c>
      <c r="E106" s="377"/>
      <c r="F106" s="378"/>
    </row>
    <row r="107" spans="1:6" ht="181.5">
      <c r="A107" s="380"/>
      <c r="B107" s="379" t="s">
        <v>1531</v>
      </c>
      <c r="C107" s="376"/>
      <c r="D107" s="382"/>
      <c r="E107" s="377"/>
      <c r="F107" s="378">
        <f>C107*E107</f>
        <v>0</v>
      </c>
    </row>
    <row r="108" spans="1:6" ht="20.100000000000001" customHeight="1">
      <c r="A108" s="383"/>
      <c r="B108" s="384"/>
      <c r="C108" s="385"/>
      <c r="D108" s="386"/>
      <c r="E108" s="387"/>
      <c r="F108" s="388"/>
    </row>
    <row r="109" spans="1:6" ht="20.100000000000001" customHeight="1">
      <c r="A109" s="380" t="s">
        <v>1532</v>
      </c>
      <c r="B109" s="341" t="s">
        <v>1533</v>
      </c>
      <c r="C109" s="376">
        <v>36</v>
      </c>
      <c r="D109" s="382" t="s">
        <v>1443</v>
      </c>
      <c r="E109" s="377"/>
      <c r="F109" s="378"/>
    </row>
    <row r="110" spans="1:6" ht="99">
      <c r="A110" s="380"/>
      <c r="B110" s="379" t="s">
        <v>1523</v>
      </c>
      <c r="C110" s="376"/>
      <c r="D110" s="382"/>
      <c r="E110" s="377"/>
      <c r="F110" s="378"/>
    </row>
    <row r="111" spans="1:6" ht="20.100000000000001" customHeight="1">
      <c r="A111" s="380"/>
      <c r="B111" s="391"/>
      <c r="C111" s="376"/>
      <c r="D111" s="382"/>
      <c r="E111" s="377"/>
      <c r="F111" s="378">
        <f>C111*E111</f>
        <v>0</v>
      </c>
    </row>
    <row r="112" spans="1:6" ht="20.100000000000001" customHeight="1">
      <c r="A112" s="380" t="s">
        <v>1534</v>
      </c>
      <c r="B112" s="341" t="s">
        <v>1535</v>
      </c>
      <c r="C112" s="376">
        <v>10</v>
      </c>
      <c r="D112" s="382" t="s">
        <v>1443</v>
      </c>
      <c r="E112" s="377"/>
      <c r="F112" s="378"/>
    </row>
    <row r="113" spans="1:6" ht="66">
      <c r="A113" s="380"/>
      <c r="B113" s="341" t="s">
        <v>1536</v>
      </c>
      <c r="C113" s="376"/>
      <c r="D113" s="382"/>
      <c r="E113" s="377"/>
      <c r="F113" s="378"/>
    </row>
    <row r="114" spans="1:6" ht="20.100000000000001" customHeight="1">
      <c r="A114" s="380"/>
      <c r="B114" s="341"/>
      <c r="C114" s="376"/>
      <c r="D114" s="382"/>
      <c r="E114" s="377"/>
      <c r="F114" s="378"/>
    </row>
    <row r="115" spans="1:6" ht="20.100000000000001" customHeight="1">
      <c r="A115" s="389" t="s">
        <v>1537</v>
      </c>
      <c r="B115" s="381" t="s">
        <v>1538</v>
      </c>
      <c r="C115" s="376"/>
      <c r="D115" s="382"/>
      <c r="E115" s="377"/>
      <c r="F115" s="378"/>
    </row>
    <row r="116" spans="1:6" ht="20.100000000000001" customHeight="1">
      <c r="A116" s="380" t="s">
        <v>1539</v>
      </c>
      <c r="B116" s="341" t="s">
        <v>1540</v>
      </c>
      <c r="C116" s="376">
        <v>1</v>
      </c>
      <c r="D116" s="382" t="s">
        <v>1437</v>
      </c>
      <c r="E116" s="377"/>
      <c r="F116" s="378"/>
    </row>
    <row r="117" spans="1:6" ht="264">
      <c r="A117" s="380"/>
      <c r="B117" s="341" t="s">
        <v>1541</v>
      </c>
      <c r="C117" s="376"/>
      <c r="D117" s="382"/>
      <c r="E117" s="377"/>
      <c r="F117" s="378"/>
    </row>
    <row r="118" spans="1:6" ht="20.100000000000001" customHeight="1">
      <c r="A118" s="383"/>
      <c r="B118" s="384"/>
      <c r="C118" s="385"/>
      <c r="D118" s="386"/>
      <c r="E118" s="387"/>
      <c r="F118" s="388"/>
    </row>
    <row r="119" spans="1:6" ht="20.100000000000001" customHeight="1">
      <c r="A119" s="380" t="s">
        <v>1542</v>
      </c>
      <c r="B119" s="341" t="s">
        <v>1543</v>
      </c>
      <c r="C119" s="376">
        <v>7</v>
      </c>
      <c r="D119" s="382" t="s">
        <v>1437</v>
      </c>
      <c r="E119" s="377"/>
      <c r="F119" s="378"/>
    </row>
    <row r="120" spans="1:6" ht="313.5">
      <c r="A120" s="380"/>
      <c r="B120" s="341" t="s">
        <v>1544</v>
      </c>
      <c r="C120" s="376"/>
      <c r="D120" s="382"/>
      <c r="E120" s="377"/>
      <c r="F120" s="378"/>
    </row>
    <row r="121" spans="1:6" ht="20.100000000000001" customHeight="1">
      <c r="A121" s="380"/>
      <c r="B121" s="341"/>
      <c r="C121" s="376"/>
      <c r="D121" s="382"/>
      <c r="E121" s="377"/>
      <c r="F121" s="378"/>
    </row>
    <row r="122" spans="1:6" ht="20.100000000000001" customHeight="1">
      <c r="A122" s="389" t="s">
        <v>1545</v>
      </c>
      <c r="B122" s="381" t="s">
        <v>1546</v>
      </c>
      <c r="C122" s="376"/>
      <c r="D122" s="382"/>
      <c r="E122" s="377"/>
      <c r="F122" s="378"/>
    </row>
    <row r="123" spans="1:6" ht="20.100000000000001" customHeight="1">
      <c r="A123" s="380" t="s">
        <v>1547</v>
      </c>
      <c r="B123" s="341" t="s">
        <v>1548</v>
      </c>
      <c r="C123" s="376">
        <v>1</v>
      </c>
      <c r="D123" s="382" t="s">
        <v>1437</v>
      </c>
      <c r="E123" s="377"/>
      <c r="F123" s="378"/>
    </row>
    <row r="124" spans="1:6" ht="181.5">
      <c r="A124" s="380"/>
      <c r="B124" s="341" t="s">
        <v>1549</v>
      </c>
      <c r="C124" s="376"/>
      <c r="D124" s="382"/>
      <c r="E124" s="377"/>
      <c r="F124" s="378"/>
    </row>
    <row r="125" spans="1:6" ht="20.100000000000001" customHeight="1">
      <c r="A125" s="380"/>
      <c r="B125" s="341"/>
      <c r="C125" s="376"/>
      <c r="D125" s="382"/>
      <c r="E125" s="377"/>
      <c r="F125" s="378"/>
    </row>
    <row r="126" spans="1:6" ht="20.100000000000001" customHeight="1">
      <c r="A126" s="380" t="s">
        <v>1550</v>
      </c>
      <c r="B126" s="341" t="s">
        <v>1551</v>
      </c>
      <c r="C126" s="376">
        <v>6</v>
      </c>
      <c r="D126" s="382" t="s">
        <v>1437</v>
      </c>
      <c r="E126" s="377"/>
      <c r="F126" s="378"/>
    </row>
    <row r="127" spans="1:6" ht="99">
      <c r="A127" s="380"/>
      <c r="B127" s="341" t="s">
        <v>1552</v>
      </c>
      <c r="C127" s="376"/>
      <c r="D127" s="382"/>
      <c r="E127" s="377"/>
      <c r="F127" s="378"/>
    </row>
    <row r="128" spans="1:6" ht="20.100000000000001" customHeight="1">
      <c r="A128" s="383"/>
      <c r="B128" s="384"/>
      <c r="C128" s="385"/>
      <c r="D128" s="386"/>
      <c r="E128" s="387"/>
      <c r="F128" s="388"/>
    </row>
    <row r="129" spans="1:6" ht="20.100000000000001" customHeight="1">
      <c r="A129" s="380" t="s">
        <v>1553</v>
      </c>
      <c r="B129" s="341" t="s">
        <v>1554</v>
      </c>
      <c r="C129" s="376">
        <v>1</v>
      </c>
      <c r="D129" s="382" t="s">
        <v>1476</v>
      </c>
      <c r="E129" s="377"/>
      <c r="F129" s="378"/>
    </row>
    <row r="130" spans="1:6" ht="214.5">
      <c r="A130" s="380"/>
      <c r="B130" s="341" t="s">
        <v>1453</v>
      </c>
      <c r="C130" s="376"/>
      <c r="D130" s="382"/>
      <c r="E130" s="377"/>
      <c r="F130" s="378"/>
    </row>
    <row r="131" spans="1:6" ht="20.100000000000001" customHeight="1">
      <c r="A131" s="380"/>
      <c r="B131" s="341"/>
      <c r="C131" s="376"/>
      <c r="D131" s="382"/>
      <c r="E131" s="377"/>
      <c r="F131" s="378"/>
    </row>
    <row r="132" spans="1:6" ht="20.100000000000001" customHeight="1">
      <c r="A132" s="380" t="s">
        <v>1555</v>
      </c>
      <c r="B132" s="341" t="s">
        <v>1556</v>
      </c>
      <c r="C132" s="376">
        <v>1</v>
      </c>
      <c r="D132" s="382" t="s">
        <v>1443</v>
      </c>
      <c r="E132" s="377"/>
      <c r="F132" s="378"/>
    </row>
    <row r="133" spans="1:6" ht="33">
      <c r="A133" s="380"/>
      <c r="B133" s="341" t="s">
        <v>1557</v>
      </c>
      <c r="C133" s="376"/>
      <c r="D133" s="382"/>
      <c r="E133" s="377"/>
      <c r="F133" s="378"/>
    </row>
    <row r="134" spans="1:6" ht="20.100000000000001" customHeight="1">
      <c r="A134" s="380"/>
      <c r="B134" s="341"/>
      <c r="C134" s="376"/>
      <c r="D134" s="382"/>
      <c r="E134" s="377"/>
      <c r="F134" s="378"/>
    </row>
    <row r="135" spans="1:6" ht="20.100000000000001" customHeight="1">
      <c r="A135" s="389" t="s">
        <v>1558</v>
      </c>
      <c r="B135" s="381" t="s">
        <v>1559</v>
      </c>
      <c r="C135" s="376"/>
      <c r="D135" s="382"/>
      <c r="E135" s="377"/>
      <c r="F135" s="378"/>
    </row>
    <row r="136" spans="1:6" ht="20.100000000000001" customHeight="1">
      <c r="A136" s="380" t="s">
        <v>1560</v>
      </c>
      <c r="B136" s="341" t="s">
        <v>1561</v>
      </c>
      <c r="C136" s="376">
        <v>1</v>
      </c>
      <c r="D136" s="382" t="s">
        <v>1437</v>
      </c>
      <c r="E136" s="377"/>
      <c r="F136" s="378"/>
    </row>
    <row r="137" spans="1:6" ht="132">
      <c r="A137" s="380"/>
      <c r="B137" s="341" t="s">
        <v>1562</v>
      </c>
      <c r="C137" s="376"/>
      <c r="D137" s="382"/>
      <c r="E137" s="377"/>
      <c r="F137" s="378"/>
    </row>
    <row r="138" spans="1:6" ht="20.100000000000001" customHeight="1">
      <c r="A138" s="380"/>
      <c r="B138" s="341"/>
      <c r="C138" s="376"/>
      <c r="D138" s="382"/>
      <c r="E138" s="377"/>
      <c r="F138" s="378"/>
    </row>
    <row r="139" spans="1:6" ht="20.100000000000001" customHeight="1">
      <c r="A139" s="380" t="s">
        <v>1563</v>
      </c>
      <c r="B139" s="341" t="s">
        <v>1564</v>
      </c>
      <c r="C139" s="376">
        <v>1</v>
      </c>
      <c r="D139" s="382" t="s">
        <v>1437</v>
      </c>
      <c r="E139" s="377"/>
      <c r="F139" s="378"/>
    </row>
    <row r="140" spans="1:6" ht="132">
      <c r="A140" s="380"/>
      <c r="B140" s="341" t="s">
        <v>1562</v>
      </c>
      <c r="C140" s="376"/>
      <c r="D140" s="382"/>
      <c r="E140" s="377"/>
      <c r="F140" s="378"/>
    </row>
    <row r="141" spans="1:6" ht="20.100000000000001" customHeight="1">
      <c r="A141" s="380"/>
      <c r="B141" s="341"/>
      <c r="C141" s="376"/>
      <c r="D141" s="382"/>
      <c r="E141" s="377"/>
      <c r="F141" s="378"/>
    </row>
    <row r="142" spans="1:6">
      <c r="A142" s="380" t="s">
        <v>1565</v>
      </c>
      <c r="B142" s="341" t="s">
        <v>1566</v>
      </c>
      <c r="C142" s="376">
        <v>1</v>
      </c>
      <c r="D142" s="382" t="s">
        <v>1476</v>
      </c>
      <c r="E142" s="377"/>
      <c r="F142" s="378"/>
    </row>
    <row r="143" spans="1:6" ht="49.5">
      <c r="A143" s="392"/>
      <c r="B143" s="393" t="s">
        <v>1567</v>
      </c>
      <c r="C143" s="394"/>
      <c r="D143" s="395"/>
      <c r="E143" s="396"/>
      <c r="F143" s="397"/>
    </row>
    <row r="144" spans="1:6" ht="20.100000000000001" customHeight="1">
      <c r="A144" s="380"/>
      <c r="B144" s="341"/>
      <c r="C144" s="376"/>
      <c r="D144" s="382"/>
      <c r="E144" s="377"/>
      <c r="F144" s="378"/>
    </row>
    <row r="145" spans="1:6" ht="20.100000000000001" customHeight="1">
      <c r="A145" s="389" t="s">
        <v>1568</v>
      </c>
      <c r="B145" s="381" t="s">
        <v>1569</v>
      </c>
      <c r="C145" s="376"/>
      <c r="D145" s="382"/>
      <c r="E145" s="377"/>
      <c r="F145" s="378"/>
    </row>
    <row r="146" spans="1:6" ht="20.100000000000001" customHeight="1">
      <c r="A146" s="380" t="s">
        <v>1570</v>
      </c>
      <c r="B146" s="341" t="s">
        <v>1571</v>
      </c>
      <c r="C146" s="376">
        <v>6</v>
      </c>
      <c r="D146" s="382" t="s">
        <v>1437</v>
      </c>
      <c r="E146" s="377"/>
      <c r="F146" s="378"/>
    </row>
    <row r="147" spans="1:6" ht="132">
      <c r="A147" s="380"/>
      <c r="B147" s="341" t="s">
        <v>1562</v>
      </c>
      <c r="C147" s="376"/>
      <c r="D147" s="382"/>
      <c r="E147" s="377"/>
      <c r="F147" s="378"/>
    </row>
    <row r="148" spans="1:6" ht="20.100000000000001" customHeight="1">
      <c r="A148" s="380"/>
      <c r="B148" s="341"/>
      <c r="C148" s="376"/>
      <c r="D148" s="382"/>
      <c r="E148" s="377"/>
      <c r="F148" s="378"/>
    </row>
    <row r="149" spans="1:6" ht="20.100000000000001" customHeight="1">
      <c r="A149" s="380" t="s">
        <v>1572</v>
      </c>
      <c r="B149" s="341" t="s">
        <v>1573</v>
      </c>
      <c r="C149" s="376">
        <v>5</v>
      </c>
      <c r="D149" s="382" t="s">
        <v>1461</v>
      </c>
      <c r="E149" s="377"/>
      <c r="F149" s="378"/>
    </row>
    <row r="150" spans="1:6" ht="33">
      <c r="A150" s="380"/>
      <c r="B150" s="341" t="s">
        <v>1480</v>
      </c>
      <c r="C150" s="376"/>
      <c r="D150" s="382"/>
      <c r="E150" s="377"/>
      <c r="F150" s="378">
        <f>C150*E150</f>
        <v>0</v>
      </c>
    </row>
    <row r="151" spans="1:6" ht="20.100000000000001" customHeight="1">
      <c r="A151" s="380"/>
      <c r="B151" s="341"/>
      <c r="C151" s="376"/>
      <c r="D151" s="382"/>
      <c r="E151" s="377"/>
      <c r="F151" s="378"/>
    </row>
    <row r="152" spans="1:6" ht="20.100000000000001" customHeight="1">
      <c r="A152" s="389" t="s">
        <v>1574</v>
      </c>
      <c r="B152" s="381" t="s">
        <v>1575</v>
      </c>
      <c r="C152" s="376"/>
      <c r="D152" s="382"/>
      <c r="E152" s="377"/>
      <c r="F152" s="378"/>
    </row>
    <row r="153" spans="1:6" ht="20.100000000000001" customHeight="1">
      <c r="A153" s="380" t="s">
        <v>1576</v>
      </c>
      <c r="B153" s="341" t="s">
        <v>1577</v>
      </c>
      <c r="C153" s="376">
        <v>1</v>
      </c>
      <c r="D153" s="382" t="s">
        <v>1437</v>
      </c>
      <c r="E153" s="377"/>
      <c r="F153" s="378"/>
    </row>
    <row r="154" spans="1:6" ht="148.5">
      <c r="A154" s="380"/>
      <c r="B154" s="341" t="s">
        <v>1578</v>
      </c>
      <c r="C154" s="376"/>
      <c r="D154" s="382"/>
      <c r="E154" s="377"/>
      <c r="F154" s="378"/>
    </row>
    <row r="155" spans="1:6" ht="20.100000000000001" customHeight="1">
      <c r="A155" s="380"/>
      <c r="B155" s="341"/>
      <c r="C155" s="376"/>
      <c r="D155" s="382"/>
      <c r="E155" s="377"/>
      <c r="F155" s="378"/>
    </row>
    <row r="156" spans="1:6" ht="20.100000000000001" customHeight="1">
      <c r="A156" s="380" t="s">
        <v>1579</v>
      </c>
      <c r="B156" s="341" t="s">
        <v>1507</v>
      </c>
      <c r="C156" s="376">
        <v>24</v>
      </c>
      <c r="D156" s="382" t="s">
        <v>1437</v>
      </c>
      <c r="E156" s="377"/>
      <c r="F156" s="378"/>
    </row>
    <row r="157" spans="1:6" ht="181.5">
      <c r="A157" s="380"/>
      <c r="B157" s="341" t="s">
        <v>1580</v>
      </c>
      <c r="C157" s="376"/>
      <c r="D157" s="382"/>
      <c r="E157" s="377"/>
      <c r="F157" s="378"/>
    </row>
    <row r="158" spans="1:6" ht="20.100000000000001" customHeight="1">
      <c r="A158" s="392"/>
      <c r="B158" s="393"/>
      <c r="C158" s="394"/>
      <c r="D158" s="395"/>
      <c r="E158" s="396"/>
      <c r="F158" s="397"/>
    </row>
    <row r="159" spans="1:6" ht="20.100000000000001" customHeight="1">
      <c r="A159" s="389" t="s">
        <v>1581</v>
      </c>
      <c r="B159" s="381" t="s">
        <v>1582</v>
      </c>
      <c r="C159" s="376"/>
      <c r="D159" s="382"/>
      <c r="E159" s="377"/>
      <c r="F159" s="378"/>
    </row>
    <row r="160" spans="1:6" ht="20.100000000000001" customHeight="1">
      <c r="A160" s="380" t="s">
        <v>1583</v>
      </c>
      <c r="B160" s="341" t="s">
        <v>1584</v>
      </c>
      <c r="C160" s="376">
        <v>1</v>
      </c>
      <c r="D160" s="382" t="s">
        <v>1437</v>
      </c>
      <c r="E160" s="377"/>
      <c r="F160" s="378"/>
    </row>
    <row r="161" spans="1:6" ht="181.5">
      <c r="A161" s="380"/>
      <c r="B161" s="341" t="s">
        <v>1585</v>
      </c>
      <c r="C161" s="376"/>
      <c r="D161" s="382"/>
      <c r="E161" s="377"/>
      <c r="F161" s="378"/>
    </row>
    <row r="162" spans="1:6" ht="20.100000000000001" customHeight="1">
      <c r="A162" s="380"/>
      <c r="B162" s="341"/>
      <c r="C162" s="376"/>
      <c r="D162" s="382"/>
      <c r="E162" s="377"/>
      <c r="F162" s="378"/>
    </row>
    <row r="163" spans="1:6" ht="20.100000000000001" customHeight="1">
      <c r="A163" s="380" t="s">
        <v>1586</v>
      </c>
      <c r="B163" s="341" t="s">
        <v>1507</v>
      </c>
      <c r="C163" s="376">
        <v>12</v>
      </c>
      <c r="D163" s="382" t="s">
        <v>1437</v>
      </c>
      <c r="E163" s="377"/>
      <c r="F163" s="378"/>
    </row>
    <row r="164" spans="1:6" ht="181.5">
      <c r="A164" s="380"/>
      <c r="B164" s="341" t="s">
        <v>1587</v>
      </c>
      <c r="C164" s="376"/>
      <c r="D164" s="382"/>
      <c r="E164" s="377"/>
      <c r="F164" s="378"/>
    </row>
    <row r="165" spans="1:6" ht="20.100000000000001" customHeight="1">
      <c r="A165" s="380"/>
      <c r="B165" s="341"/>
      <c r="C165" s="376"/>
      <c r="D165" s="382"/>
      <c r="E165" s="377"/>
      <c r="F165" s="378"/>
    </row>
    <row r="166" spans="1:6" ht="20.100000000000001" customHeight="1">
      <c r="A166" s="380" t="s">
        <v>1588</v>
      </c>
      <c r="B166" s="341" t="s">
        <v>1589</v>
      </c>
      <c r="C166" s="376">
        <v>1</v>
      </c>
      <c r="D166" s="382" t="s">
        <v>1437</v>
      </c>
      <c r="E166" s="377"/>
      <c r="F166" s="378"/>
    </row>
    <row r="167" spans="1:6" ht="181.5">
      <c r="A167" s="380"/>
      <c r="B167" s="341" t="s">
        <v>1456</v>
      </c>
      <c r="C167" s="376"/>
      <c r="D167" s="382"/>
      <c r="E167" s="377"/>
      <c r="F167" s="378"/>
    </row>
    <row r="168" spans="1:6" ht="20.100000000000001" customHeight="1">
      <c r="A168" s="380"/>
      <c r="B168" s="341"/>
      <c r="C168" s="376"/>
      <c r="D168" s="382"/>
      <c r="E168" s="377"/>
      <c r="F168" s="378"/>
    </row>
    <row r="169" spans="1:6" ht="20.100000000000001" customHeight="1">
      <c r="A169" s="380" t="s">
        <v>1590</v>
      </c>
      <c r="B169" s="341" t="s">
        <v>1507</v>
      </c>
      <c r="C169" s="376">
        <v>10</v>
      </c>
      <c r="D169" s="382" t="s">
        <v>1437</v>
      </c>
      <c r="E169" s="377"/>
      <c r="F169" s="378"/>
    </row>
    <row r="170" spans="1:6" ht="82.5">
      <c r="A170" s="380"/>
      <c r="B170" s="341" t="s">
        <v>1591</v>
      </c>
      <c r="C170" s="376"/>
      <c r="D170" s="382"/>
      <c r="E170" s="377"/>
      <c r="F170" s="378"/>
    </row>
    <row r="171" spans="1:6" ht="20.100000000000001" customHeight="1">
      <c r="A171" s="383"/>
      <c r="B171" s="384"/>
      <c r="C171" s="385"/>
      <c r="D171" s="386"/>
      <c r="E171" s="387"/>
      <c r="F171" s="388"/>
    </row>
    <row r="172" spans="1:6" ht="20.100000000000001" customHeight="1">
      <c r="A172" s="389" t="s">
        <v>1592</v>
      </c>
      <c r="B172" s="381" t="s">
        <v>1593</v>
      </c>
      <c r="C172" s="376"/>
      <c r="D172" s="382"/>
      <c r="E172" s="377"/>
      <c r="F172" s="378"/>
    </row>
    <row r="173" spans="1:6" ht="20.100000000000001" customHeight="1">
      <c r="A173" s="380" t="s">
        <v>1594</v>
      </c>
      <c r="B173" s="341" t="s">
        <v>1595</v>
      </c>
      <c r="C173" s="376">
        <v>2</v>
      </c>
      <c r="D173" s="382" t="s">
        <v>1437</v>
      </c>
      <c r="E173" s="377"/>
      <c r="F173" s="378"/>
    </row>
    <row r="174" spans="1:6" ht="132">
      <c r="A174" s="380"/>
      <c r="B174" s="341" t="s">
        <v>1562</v>
      </c>
      <c r="C174" s="376"/>
      <c r="D174" s="382"/>
      <c r="E174" s="377"/>
      <c r="F174" s="378"/>
    </row>
    <row r="175" spans="1:6" ht="20.100000000000001" customHeight="1">
      <c r="A175" s="380"/>
      <c r="B175" s="341"/>
      <c r="C175" s="376"/>
      <c r="D175" s="382"/>
      <c r="E175" s="377"/>
      <c r="F175" s="378"/>
    </row>
    <row r="176" spans="1:6" ht="20.100000000000001" customHeight="1">
      <c r="A176" s="380" t="s">
        <v>1596</v>
      </c>
      <c r="B176" s="341" t="s">
        <v>1597</v>
      </c>
      <c r="C176" s="376">
        <v>1</v>
      </c>
      <c r="D176" s="382" t="s">
        <v>1437</v>
      </c>
      <c r="E176" s="377"/>
      <c r="F176" s="378"/>
    </row>
    <row r="177" spans="1:6" ht="132">
      <c r="A177" s="380"/>
      <c r="B177" s="341" t="s">
        <v>1562</v>
      </c>
      <c r="C177" s="376"/>
      <c r="D177" s="382"/>
      <c r="E177" s="377"/>
      <c r="F177" s="378"/>
    </row>
    <row r="178" spans="1:6" ht="20.100000000000001" customHeight="1">
      <c r="A178" s="380"/>
      <c r="B178" s="341"/>
      <c r="C178" s="376"/>
      <c r="D178" s="382"/>
      <c r="E178" s="377"/>
      <c r="F178" s="378"/>
    </row>
    <row r="179" spans="1:6" ht="20.100000000000001" customHeight="1">
      <c r="A179" s="380" t="s">
        <v>1598</v>
      </c>
      <c r="B179" s="341" t="s">
        <v>1599</v>
      </c>
      <c r="C179" s="376">
        <v>1</v>
      </c>
      <c r="D179" s="382" t="s">
        <v>1600</v>
      </c>
      <c r="E179" s="377"/>
      <c r="F179" s="378"/>
    </row>
    <row r="180" spans="1:6" ht="132">
      <c r="A180" s="380"/>
      <c r="B180" s="341" t="s">
        <v>1562</v>
      </c>
      <c r="C180" s="376"/>
      <c r="D180" s="382"/>
      <c r="E180" s="377"/>
      <c r="F180" s="378"/>
    </row>
    <row r="181" spans="1:6" ht="20.100000000000001" customHeight="1">
      <c r="A181" s="380"/>
      <c r="B181" s="341"/>
      <c r="C181" s="376"/>
      <c r="D181" s="382"/>
      <c r="E181" s="377"/>
      <c r="F181" s="378"/>
    </row>
    <row r="182" spans="1:6" ht="20.100000000000001" customHeight="1">
      <c r="A182" s="380" t="s">
        <v>1601</v>
      </c>
      <c r="B182" s="341" t="s">
        <v>1556</v>
      </c>
      <c r="C182" s="376">
        <v>1</v>
      </c>
      <c r="D182" s="382" t="s">
        <v>1443</v>
      </c>
      <c r="E182" s="377"/>
      <c r="F182" s="378"/>
    </row>
    <row r="183" spans="1:6" ht="33">
      <c r="A183" s="380"/>
      <c r="B183" s="341" t="s">
        <v>1557</v>
      </c>
      <c r="C183" s="376"/>
      <c r="D183" s="382"/>
      <c r="E183" s="377"/>
      <c r="F183" s="378"/>
    </row>
    <row r="184" spans="1:6" ht="20.100000000000001" customHeight="1">
      <c r="A184" s="380"/>
      <c r="B184" s="341"/>
      <c r="C184" s="376"/>
      <c r="D184" s="382"/>
      <c r="E184" s="377"/>
      <c r="F184" s="378"/>
    </row>
    <row r="185" spans="1:6" ht="20.100000000000001" customHeight="1">
      <c r="A185" s="380" t="s">
        <v>1602</v>
      </c>
      <c r="B185" s="341" t="s">
        <v>1603</v>
      </c>
      <c r="C185" s="376">
        <v>2</v>
      </c>
      <c r="D185" s="382" t="s">
        <v>1443</v>
      </c>
      <c r="E185" s="377"/>
      <c r="F185" s="378"/>
    </row>
    <row r="186" spans="1:6" ht="33">
      <c r="A186" s="380"/>
      <c r="B186" s="341" t="s">
        <v>1604</v>
      </c>
      <c r="C186" s="376"/>
      <c r="D186" s="382"/>
      <c r="E186" s="377"/>
      <c r="F186" s="378"/>
    </row>
    <row r="187" spans="1:6" ht="20.100000000000001" customHeight="1">
      <c r="A187" s="383"/>
      <c r="B187" s="384"/>
      <c r="C187" s="385"/>
      <c r="D187" s="386"/>
      <c r="E187" s="387"/>
      <c r="F187" s="388"/>
    </row>
    <row r="188" spans="1:6" ht="20.100000000000001" customHeight="1">
      <c r="A188" s="380" t="s">
        <v>1605</v>
      </c>
      <c r="B188" s="341" t="s">
        <v>1606</v>
      </c>
      <c r="C188" s="376">
        <v>1</v>
      </c>
      <c r="D188" s="382" t="s">
        <v>1443</v>
      </c>
      <c r="E188" s="377"/>
      <c r="F188" s="378"/>
    </row>
    <row r="189" spans="1:6" ht="181.5">
      <c r="A189" s="380"/>
      <c r="B189" s="341" t="s">
        <v>1607</v>
      </c>
      <c r="C189" s="376"/>
      <c r="D189" s="382"/>
      <c r="E189" s="377"/>
      <c r="F189" s="378"/>
    </row>
    <row r="190" spans="1:6" ht="20.100000000000001" customHeight="1">
      <c r="A190" s="380"/>
      <c r="B190" s="341"/>
      <c r="C190" s="376"/>
      <c r="D190" s="382"/>
      <c r="E190" s="377"/>
      <c r="F190" s="378"/>
    </row>
    <row r="191" spans="1:6" ht="20.100000000000001" customHeight="1">
      <c r="A191" s="380" t="s">
        <v>1608</v>
      </c>
      <c r="B191" s="341" t="s">
        <v>1609</v>
      </c>
      <c r="C191" s="376">
        <v>10</v>
      </c>
      <c r="D191" s="382" t="s">
        <v>1437</v>
      </c>
      <c r="E191" s="377"/>
      <c r="F191" s="378"/>
    </row>
    <row r="192" spans="1:6" ht="99">
      <c r="A192" s="380"/>
      <c r="B192" s="341" t="s">
        <v>1552</v>
      </c>
      <c r="C192" s="376"/>
      <c r="D192" s="382"/>
      <c r="E192" s="377"/>
      <c r="F192" s="378"/>
    </row>
    <row r="193" spans="1:6" ht="20.100000000000001" customHeight="1">
      <c r="A193" s="380"/>
      <c r="B193" s="341"/>
      <c r="C193" s="376"/>
      <c r="D193" s="382"/>
      <c r="E193" s="377"/>
      <c r="F193" s="378"/>
    </row>
    <row r="194" spans="1:6" ht="20.100000000000001" customHeight="1">
      <c r="A194" s="389" t="s">
        <v>1610</v>
      </c>
      <c r="B194" s="381" t="s">
        <v>1611</v>
      </c>
      <c r="C194" s="376"/>
      <c r="D194" s="382"/>
      <c r="E194" s="377"/>
      <c r="F194" s="378"/>
    </row>
    <row r="195" spans="1:6" ht="20.100000000000001" customHeight="1">
      <c r="A195" s="380" t="s">
        <v>1612</v>
      </c>
      <c r="B195" s="341" t="s">
        <v>1613</v>
      </c>
      <c r="C195" s="376">
        <v>3</v>
      </c>
      <c r="D195" s="382" t="s">
        <v>1437</v>
      </c>
      <c r="E195" s="377"/>
      <c r="F195" s="378"/>
    </row>
    <row r="196" spans="1:6" ht="181.5">
      <c r="A196" s="380"/>
      <c r="B196" s="341" t="s">
        <v>1456</v>
      </c>
      <c r="C196" s="376"/>
      <c r="D196" s="382"/>
      <c r="E196" s="377"/>
      <c r="F196" s="378"/>
    </row>
    <row r="197" spans="1:6" ht="20.100000000000001" customHeight="1">
      <c r="A197" s="380"/>
      <c r="B197" s="341"/>
      <c r="C197" s="376"/>
      <c r="D197" s="382"/>
      <c r="E197" s="377"/>
      <c r="F197" s="378"/>
    </row>
    <row r="198" spans="1:6" ht="20.100000000000001" customHeight="1">
      <c r="A198" s="380" t="s">
        <v>1614</v>
      </c>
      <c r="B198" s="341" t="s">
        <v>1615</v>
      </c>
      <c r="C198" s="376">
        <v>14</v>
      </c>
      <c r="D198" s="382" t="s">
        <v>1461</v>
      </c>
      <c r="E198" s="377"/>
      <c r="F198" s="378"/>
    </row>
    <row r="199" spans="1:6" ht="165">
      <c r="A199" s="380"/>
      <c r="B199" s="341" t="s">
        <v>1616</v>
      </c>
      <c r="C199" s="376"/>
      <c r="D199" s="382"/>
      <c r="E199" s="377"/>
      <c r="F199" s="378"/>
    </row>
    <row r="200" spans="1:6" ht="20.100000000000001" customHeight="1">
      <c r="A200" s="383"/>
      <c r="B200" s="384"/>
      <c r="C200" s="385"/>
      <c r="D200" s="386"/>
      <c r="E200" s="387"/>
      <c r="F200" s="388"/>
    </row>
    <row r="201" spans="1:6" ht="20.100000000000001" customHeight="1">
      <c r="A201" s="389" t="s">
        <v>1617</v>
      </c>
      <c r="B201" s="381" t="s">
        <v>1618</v>
      </c>
      <c r="C201" s="376"/>
      <c r="D201" s="382"/>
      <c r="E201" s="377"/>
      <c r="F201" s="378"/>
    </row>
    <row r="202" spans="1:6" ht="20.100000000000001" customHeight="1">
      <c r="A202" s="380" t="s">
        <v>1619</v>
      </c>
      <c r="B202" s="341" t="s">
        <v>1620</v>
      </c>
      <c r="C202" s="376">
        <v>3</v>
      </c>
      <c r="D202" s="382" t="s">
        <v>1437</v>
      </c>
      <c r="E202" s="377"/>
      <c r="F202" s="378"/>
    </row>
    <row r="203" spans="1:6" ht="181.5">
      <c r="A203" s="380"/>
      <c r="B203" s="341" t="s">
        <v>1456</v>
      </c>
      <c r="C203" s="376"/>
      <c r="D203" s="382"/>
      <c r="E203" s="377"/>
      <c r="F203" s="378"/>
    </row>
    <row r="204" spans="1:6" ht="20.100000000000001" customHeight="1">
      <c r="A204" s="380"/>
      <c r="B204" s="341"/>
      <c r="C204" s="376"/>
      <c r="D204" s="382"/>
      <c r="E204" s="377"/>
      <c r="F204" s="378"/>
    </row>
    <row r="205" spans="1:6" ht="20.100000000000001" customHeight="1">
      <c r="A205" s="380" t="s">
        <v>1621</v>
      </c>
      <c r="B205" s="341" t="s">
        <v>1622</v>
      </c>
      <c r="C205" s="376">
        <v>18</v>
      </c>
      <c r="D205" s="382" t="s">
        <v>1461</v>
      </c>
      <c r="E205" s="377"/>
      <c r="F205" s="378"/>
    </row>
    <row r="206" spans="1:6" ht="165">
      <c r="A206" s="380"/>
      <c r="B206" s="341" t="s">
        <v>1623</v>
      </c>
      <c r="C206" s="376"/>
      <c r="D206" s="382"/>
      <c r="E206" s="377"/>
      <c r="F206" s="378"/>
    </row>
    <row r="207" spans="1:6" ht="20.100000000000001" customHeight="1">
      <c r="A207" s="380"/>
      <c r="B207" s="341"/>
      <c r="C207" s="376"/>
      <c r="D207" s="382"/>
      <c r="E207" s="377"/>
      <c r="F207" s="378"/>
    </row>
    <row r="208" spans="1:6" ht="20.100000000000001" customHeight="1">
      <c r="A208" s="389" t="s">
        <v>1624</v>
      </c>
      <c r="B208" s="381" t="s">
        <v>1625</v>
      </c>
      <c r="C208" s="376"/>
      <c r="D208" s="382"/>
      <c r="E208" s="377"/>
      <c r="F208" s="378"/>
    </row>
    <row r="209" spans="1:6" ht="20.100000000000001" customHeight="1">
      <c r="A209" s="380" t="s">
        <v>1626</v>
      </c>
      <c r="B209" s="341" t="s">
        <v>1627</v>
      </c>
      <c r="C209" s="376">
        <v>2</v>
      </c>
      <c r="D209" s="382" t="s">
        <v>1476</v>
      </c>
      <c r="E209" s="377"/>
      <c r="F209" s="378"/>
    </row>
    <row r="210" spans="1:6" ht="132">
      <c r="A210" s="380"/>
      <c r="B210" s="341" t="s">
        <v>1562</v>
      </c>
      <c r="C210" s="376"/>
      <c r="D210" s="382"/>
      <c r="E210" s="377"/>
      <c r="F210" s="378"/>
    </row>
    <row r="211" spans="1:6" ht="20.100000000000001" customHeight="1">
      <c r="A211" s="380"/>
      <c r="B211" s="341"/>
      <c r="C211" s="376"/>
      <c r="D211" s="382"/>
      <c r="E211" s="377"/>
      <c r="F211" s="378"/>
    </row>
    <row r="212" spans="1:6" ht="20.100000000000001" customHeight="1">
      <c r="A212" s="380" t="s">
        <v>1628</v>
      </c>
      <c r="B212" s="341" t="s">
        <v>1629</v>
      </c>
      <c r="C212" s="376">
        <v>1</v>
      </c>
      <c r="D212" s="382" t="s">
        <v>1600</v>
      </c>
      <c r="E212" s="377"/>
      <c r="F212" s="378"/>
    </row>
    <row r="213" spans="1:6" ht="132">
      <c r="A213" s="380"/>
      <c r="B213" s="341" t="s">
        <v>1562</v>
      </c>
      <c r="C213" s="376"/>
      <c r="D213" s="382"/>
      <c r="E213" s="377"/>
      <c r="F213" s="378"/>
    </row>
    <row r="214" spans="1:6" ht="20.100000000000001" customHeight="1">
      <c r="A214" s="383"/>
      <c r="B214" s="384"/>
      <c r="C214" s="385"/>
      <c r="D214" s="386"/>
      <c r="E214" s="387"/>
      <c r="F214" s="388"/>
    </row>
    <row r="215" spans="1:6" ht="20.100000000000001" customHeight="1">
      <c r="A215" s="380" t="s">
        <v>1630</v>
      </c>
      <c r="B215" s="341" t="s">
        <v>1631</v>
      </c>
      <c r="C215" s="376">
        <v>1</v>
      </c>
      <c r="D215" s="382" t="s">
        <v>1600</v>
      </c>
      <c r="E215" s="377"/>
      <c r="F215" s="378"/>
    </row>
    <row r="216" spans="1:6" ht="132">
      <c r="A216" s="380"/>
      <c r="B216" s="341" t="s">
        <v>1562</v>
      </c>
      <c r="C216" s="376"/>
      <c r="D216" s="382"/>
      <c r="E216" s="377"/>
      <c r="F216" s="378"/>
    </row>
    <row r="217" spans="1:6" ht="20.100000000000001" customHeight="1">
      <c r="A217" s="380"/>
      <c r="B217" s="341"/>
      <c r="C217" s="376"/>
      <c r="D217" s="382"/>
      <c r="E217" s="377"/>
      <c r="F217" s="378"/>
    </row>
    <row r="218" spans="1:6" ht="20.100000000000001" customHeight="1">
      <c r="A218" s="380" t="s">
        <v>1632</v>
      </c>
      <c r="B218" s="341" t="s">
        <v>1633</v>
      </c>
      <c r="C218" s="376">
        <v>6</v>
      </c>
      <c r="D218" s="382" t="s">
        <v>1443</v>
      </c>
      <c r="E218" s="377"/>
      <c r="F218" s="378"/>
    </row>
    <row r="219" spans="1:6" ht="132">
      <c r="A219" s="380"/>
      <c r="B219" s="341" t="s">
        <v>1562</v>
      </c>
      <c r="C219" s="376"/>
      <c r="D219" s="382"/>
      <c r="E219" s="377"/>
      <c r="F219" s="378"/>
    </row>
    <row r="220" spans="1:6" ht="20.100000000000001" customHeight="1">
      <c r="A220" s="380"/>
      <c r="B220" s="341"/>
      <c r="C220" s="376"/>
      <c r="D220" s="382"/>
      <c r="E220" s="377"/>
      <c r="F220" s="378"/>
    </row>
    <row r="221" spans="1:6" ht="20.100000000000001" customHeight="1">
      <c r="A221" s="380" t="s">
        <v>1634</v>
      </c>
      <c r="B221" s="341" t="s">
        <v>1635</v>
      </c>
      <c r="C221" s="376">
        <v>4</v>
      </c>
      <c r="D221" s="382" t="s">
        <v>1437</v>
      </c>
      <c r="E221" s="377"/>
      <c r="F221" s="378"/>
    </row>
    <row r="222" spans="1:6" ht="181.5">
      <c r="A222" s="380"/>
      <c r="B222" s="341" t="s">
        <v>1505</v>
      </c>
      <c r="C222" s="376"/>
      <c r="D222" s="382"/>
      <c r="E222" s="377"/>
      <c r="F222" s="378"/>
    </row>
    <row r="223" spans="1:6">
      <c r="A223" s="380"/>
      <c r="B223" s="341"/>
      <c r="C223" s="376"/>
      <c r="D223" s="382"/>
      <c r="E223" s="377"/>
      <c r="F223" s="378"/>
    </row>
    <row r="224" spans="1:6">
      <c r="A224" s="380" t="s">
        <v>1636</v>
      </c>
      <c r="B224" s="341" t="s">
        <v>1637</v>
      </c>
      <c r="C224" s="376">
        <v>8</v>
      </c>
      <c r="D224" s="382" t="s">
        <v>1437</v>
      </c>
      <c r="E224" s="377"/>
      <c r="F224" s="378"/>
    </row>
    <row r="225" spans="1:6">
      <c r="A225" s="380"/>
      <c r="B225" s="341" t="s">
        <v>1638</v>
      </c>
      <c r="C225" s="376"/>
      <c r="D225" s="382"/>
      <c r="E225" s="377"/>
      <c r="F225" s="378"/>
    </row>
    <row r="226" spans="1:6">
      <c r="A226" s="380"/>
      <c r="B226" s="341"/>
      <c r="C226" s="376"/>
      <c r="D226" s="382"/>
      <c r="E226" s="377"/>
      <c r="F226" s="378"/>
    </row>
    <row r="227" spans="1:6" ht="20.100000000000001" customHeight="1">
      <c r="A227" s="389" t="s">
        <v>1639</v>
      </c>
      <c r="B227" s="381" t="s">
        <v>1640</v>
      </c>
      <c r="C227" s="376"/>
      <c r="D227" s="382"/>
      <c r="E227" s="377"/>
      <c r="F227" s="378"/>
    </row>
    <row r="228" spans="1:6" ht="20.100000000000001" customHeight="1">
      <c r="A228" s="380" t="s">
        <v>1641</v>
      </c>
      <c r="B228" s="341" t="s">
        <v>1642</v>
      </c>
      <c r="C228" s="376">
        <v>1</v>
      </c>
      <c r="D228" s="382" t="s">
        <v>1443</v>
      </c>
      <c r="E228" s="377"/>
      <c r="F228" s="378"/>
    </row>
    <row r="229" spans="1:6" ht="181.5">
      <c r="A229" s="383"/>
      <c r="B229" s="384" t="s">
        <v>1643</v>
      </c>
      <c r="C229" s="385"/>
      <c r="D229" s="386"/>
      <c r="E229" s="387"/>
      <c r="F229" s="388"/>
    </row>
    <row r="230" spans="1:6" ht="20.100000000000001" customHeight="1">
      <c r="A230" s="380"/>
      <c r="B230" s="341"/>
      <c r="C230" s="376"/>
      <c r="D230" s="382"/>
      <c r="E230" s="377"/>
      <c r="F230" s="378"/>
    </row>
    <row r="231" spans="1:6" ht="20.100000000000001" customHeight="1">
      <c r="A231" s="380" t="s">
        <v>1644</v>
      </c>
      <c r="B231" s="341" t="s">
        <v>1645</v>
      </c>
      <c r="C231" s="376">
        <v>171</v>
      </c>
      <c r="D231" s="382" t="s">
        <v>1461</v>
      </c>
      <c r="E231" s="377"/>
      <c r="F231" s="378"/>
    </row>
    <row r="232" spans="1:6" ht="82.5">
      <c r="A232" s="380"/>
      <c r="B232" s="341" t="s">
        <v>1591</v>
      </c>
      <c r="C232" s="376"/>
      <c r="D232" s="382"/>
      <c r="E232" s="377"/>
      <c r="F232" s="378"/>
    </row>
    <row r="233" spans="1:6" ht="20.100000000000001" customHeight="1">
      <c r="A233" s="380"/>
      <c r="B233" s="341"/>
      <c r="C233" s="376"/>
      <c r="D233" s="382"/>
      <c r="E233" s="377"/>
      <c r="F233" s="378"/>
    </row>
    <row r="234" spans="1:6" ht="20.100000000000001" customHeight="1">
      <c r="A234" s="389" t="s">
        <v>1646</v>
      </c>
      <c r="B234" s="381" t="s">
        <v>1647</v>
      </c>
      <c r="C234" s="376"/>
      <c r="D234" s="382"/>
      <c r="E234" s="377"/>
      <c r="F234" s="378"/>
    </row>
    <row r="235" spans="1:6" ht="20.100000000000001" customHeight="1">
      <c r="A235" s="380" t="s">
        <v>1648</v>
      </c>
      <c r="B235" s="341" t="s">
        <v>1649</v>
      </c>
      <c r="C235" s="376">
        <v>2</v>
      </c>
      <c r="D235" s="382" t="s">
        <v>1437</v>
      </c>
      <c r="E235" s="377"/>
      <c r="F235" s="378"/>
    </row>
    <row r="236" spans="1:6" ht="132">
      <c r="A236" s="380"/>
      <c r="B236" s="341" t="s">
        <v>1562</v>
      </c>
      <c r="C236" s="376"/>
      <c r="D236" s="382"/>
      <c r="E236" s="377"/>
      <c r="F236" s="378"/>
    </row>
    <row r="237" spans="1:6" ht="20.100000000000001" customHeight="1">
      <c r="A237" s="380"/>
      <c r="B237" s="341"/>
      <c r="C237" s="376"/>
      <c r="D237" s="382"/>
      <c r="E237" s="377"/>
      <c r="F237" s="378"/>
    </row>
    <row r="238" spans="1:6">
      <c r="A238" s="380" t="s">
        <v>1650</v>
      </c>
      <c r="B238" s="341" t="s">
        <v>1651</v>
      </c>
      <c r="C238" s="376">
        <v>2</v>
      </c>
      <c r="D238" s="382" t="s">
        <v>1476</v>
      </c>
      <c r="E238" s="377"/>
      <c r="F238" s="378"/>
    </row>
    <row r="239" spans="1:6" ht="33">
      <c r="A239" s="380"/>
      <c r="B239" s="341" t="s">
        <v>1652</v>
      </c>
      <c r="C239" s="376"/>
      <c r="D239" s="382"/>
      <c r="E239" s="377"/>
      <c r="F239" s="378"/>
    </row>
    <row r="240" spans="1:6" ht="20.100000000000001" customHeight="1">
      <c r="A240" s="380"/>
      <c r="B240" s="341"/>
      <c r="C240" s="376"/>
      <c r="D240" s="382"/>
      <c r="E240" s="377"/>
      <c r="F240" s="378"/>
    </row>
    <row r="241" spans="1:6" ht="20.100000000000001" customHeight="1">
      <c r="A241" s="380" t="s">
        <v>1653</v>
      </c>
      <c r="B241" s="341" t="s">
        <v>1637</v>
      </c>
      <c r="C241" s="376">
        <v>4</v>
      </c>
      <c r="D241" s="382" t="s">
        <v>1437</v>
      </c>
      <c r="E241" s="377"/>
      <c r="F241" s="378"/>
    </row>
    <row r="242" spans="1:6" ht="20.100000000000001" customHeight="1">
      <c r="A242" s="380"/>
      <c r="B242" s="341" t="s">
        <v>1638</v>
      </c>
      <c r="C242" s="376"/>
      <c r="D242" s="382"/>
      <c r="E242" s="377"/>
      <c r="F242" s="378"/>
    </row>
    <row r="243" spans="1:6" ht="20.100000000000001" customHeight="1">
      <c r="A243" s="380"/>
      <c r="B243" s="341"/>
      <c r="C243" s="376"/>
      <c r="D243" s="382"/>
      <c r="E243" s="377"/>
      <c r="F243" s="378"/>
    </row>
    <row r="244" spans="1:6" ht="20.100000000000001" customHeight="1">
      <c r="A244" s="389" t="s">
        <v>1654</v>
      </c>
      <c r="B244" s="381" t="s">
        <v>1655</v>
      </c>
      <c r="C244" s="376"/>
      <c r="D244" s="382"/>
      <c r="E244" s="377"/>
      <c r="F244" s="378"/>
    </row>
    <row r="245" spans="1:6" ht="20.100000000000001" customHeight="1">
      <c r="A245" s="380" t="s">
        <v>1656</v>
      </c>
      <c r="B245" s="341" t="s">
        <v>1657</v>
      </c>
      <c r="C245" s="376">
        <v>1</v>
      </c>
      <c r="D245" s="382" t="s">
        <v>1437</v>
      </c>
      <c r="E245" s="377"/>
      <c r="F245" s="378"/>
    </row>
    <row r="246" spans="1:6" ht="132">
      <c r="A246" s="380"/>
      <c r="B246" s="341" t="s">
        <v>1562</v>
      </c>
      <c r="C246" s="376"/>
      <c r="D246" s="382"/>
      <c r="E246" s="377"/>
      <c r="F246" s="378"/>
    </row>
    <row r="247" spans="1:6" ht="20.100000000000001" customHeight="1">
      <c r="A247" s="383"/>
      <c r="B247" s="384"/>
      <c r="C247" s="385"/>
      <c r="D247" s="386"/>
      <c r="E247" s="387"/>
      <c r="F247" s="388"/>
    </row>
    <row r="248" spans="1:6" ht="20.100000000000001" customHeight="1">
      <c r="A248" s="380" t="s">
        <v>1658</v>
      </c>
      <c r="B248" s="341" t="s">
        <v>1659</v>
      </c>
      <c r="C248" s="376">
        <v>1</v>
      </c>
      <c r="D248" s="382" t="s">
        <v>1437</v>
      </c>
      <c r="E248" s="377"/>
      <c r="F248" s="378"/>
    </row>
    <row r="249" spans="1:6" ht="132">
      <c r="A249" s="380"/>
      <c r="B249" s="341" t="s">
        <v>1562</v>
      </c>
      <c r="C249" s="376"/>
      <c r="D249" s="382"/>
      <c r="E249" s="377"/>
      <c r="F249" s="378"/>
    </row>
    <row r="250" spans="1:6" ht="20.100000000000001" customHeight="1">
      <c r="A250" s="380"/>
      <c r="B250" s="341"/>
      <c r="C250" s="376"/>
      <c r="D250" s="382"/>
      <c r="E250" s="377"/>
      <c r="F250" s="378"/>
    </row>
    <row r="251" spans="1:6" ht="20.100000000000001" customHeight="1">
      <c r="A251" s="380" t="s">
        <v>1660</v>
      </c>
      <c r="B251" s="341" t="s">
        <v>1661</v>
      </c>
      <c r="C251" s="376">
        <v>1</v>
      </c>
      <c r="D251" s="382" t="s">
        <v>1461</v>
      </c>
      <c r="E251" s="377"/>
      <c r="F251" s="378"/>
    </row>
    <row r="252" spans="1:6" ht="33">
      <c r="A252" s="380"/>
      <c r="B252" s="341" t="s">
        <v>1652</v>
      </c>
      <c r="C252" s="376"/>
      <c r="D252" s="382"/>
      <c r="E252" s="377"/>
      <c r="F252" s="378"/>
    </row>
    <row r="253" spans="1:6" ht="20.100000000000001" customHeight="1">
      <c r="A253" s="380"/>
      <c r="B253" s="341"/>
      <c r="C253" s="376"/>
      <c r="D253" s="382"/>
      <c r="E253" s="377"/>
      <c r="F253" s="378"/>
    </row>
    <row r="254" spans="1:6" ht="20.100000000000001" customHeight="1">
      <c r="A254" s="380" t="s">
        <v>1662</v>
      </c>
      <c r="B254" s="341" t="s">
        <v>1663</v>
      </c>
      <c r="C254" s="376">
        <v>1</v>
      </c>
      <c r="D254" s="382" t="s">
        <v>1437</v>
      </c>
      <c r="E254" s="377"/>
      <c r="F254" s="378"/>
    </row>
    <row r="255" spans="1:6" ht="181.5">
      <c r="A255" s="380"/>
      <c r="B255" s="341" t="s">
        <v>1664</v>
      </c>
      <c r="C255" s="376"/>
      <c r="D255" s="382"/>
      <c r="E255" s="377"/>
      <c r="F255" s="378"/>
    </row>
    <row r="256" spans="1:6" ht="20.100000000000001" customHeight="1">
      <c r="A256" s="380"/>
      <c r="B256" s="341"/>
      <c r="C256" s="376"/>
      <c r="D256" s="382"/>
      <c r="E256" s="377"/>
      <c r="F256" s="378"/>
    </row>
    <row r="257" spans="1:6" ht="20.100000000000001" customHeight="1">
      <c r="A257" s="380" t="s">
        <v>1665</v>
      </c>
      <c r="B257" s="341" t="s">
        <v>1666</v>
      </c>
      <c r="C257" s="376">
        <v>4</v>
      </c>
      <c r="D257" s="382" t="s">
        <v>1461</v>
      </c>
      <c r="E257" s="377"/>
      <c r="F257" s="378"/>
    </row>
    <row r="258" spans="1:6" ht="165">
      <c r="A258" s="380"/>
      <c r="B258" s="341" t="s">
        <v>1616</v>
      </c>
      <c r="C258" s="376"/>
      <c r="D258" s="382"/>
      <c r="E258" s="377"/>
      <c r="F258" s="378"/>
    </row>
    <row r="259" spans="1:6" ht="20.100000000000001" customHeight="1">
      <c r="A259" s="383"/>
      <c r="B259" s="384"/>
      <c r="C259" s="385"/>
      <c r="D259" s="386"/>
      <c r="E259" s="387"/>
      <c r="F259" s="388"/>
    </row>
    <row r="260" spans="1:6" ht="20.100000000000001" customHeight="1">
      <c r="A260" s="389" t="s">
        <v>1667</v>
      </c>
      <c r="B260" s="381" t="s">
        <v>1668</v>
      </c>
      <c r="C260" s="376"/>
      <c r="D260" s="382"/>
      <c r="E260" s="377"/>
      <c r="F260" s="378"/>
    </row>
    <row r="261" spans="1:6" ht="20.100000000000001" customHeight="1">
      <c r="A261" s="380" t="s">
        <v>1669</v>
      </c>
      <c r="B261" s="341" t="s">
        <v>1519</v>
      </c>
      <c r="C261" s="376">
        <v>4</v>
      </c>
      <c r="D261" s="382" t="s">
        <v>1437</v>
      </c>
      <c r="E261" s="377"/>
      <c r="F261" s="378"/>
    </row>
    <row r="262" spans="1:6" ht="181.5">
      <c r="A262" s="380"/>
      <c r="B262" s="341" t="s">
        <v>1520</v>
      </c>
      <c r="C262" s="376"/>
      <c r="D262" s="382"/>
      <c r="E262" s="377"/>
      <c r="F262" s="378"/>
    </row>
    <row r="263" spans="1:6" ht="20.100000000000001" customHeight="1">
      <c r="A263" s="383"/>
      <c r="B263" s="384"/>
      <c r="C263" s="385"/>
      <c r="D263" s="386"/>
      <c r="E263" s="387"/>
      <c r="F263" s="388"/>
    </row>
    <row r="264" spans="1:6" ht="22.7" customHeight="1">
      <c r="A264" s="471" t="s">
        <v>1670</v>
      </c>
      <c r="B264" s="472"/>
      <c r="C264" s="473"/>
      <c r="D264" s="472"/>
      <c r="E264" s="473"/>
      <c r="F264" s="398">
        <f>SUM(F18:F150)</f>
        <v>0</v>
      </c>
    </row>
  </sheetData>
  <mergeCells count="1">
    <mergeCell ref="A264:E264"/>
  </mergeCells>
  <phoneticPr fontId="34" type="noConversion"/>
  <printOptions horizontalCentered="1"/>
  <pageMargins left="0.55118110236220497" right="0.35433070866141703" top="0.98425196850393704" bottom="0.98425196850393704" header="0.511811023622047" footer="0.511811023622047"/>
  <pageSetup paperSize="9" scale="79" fitToHeight="0" orientation="portrait" r:id="rId1"/>
  <headerFooter>
    <oddFooter>&amp;RBQ-G-P.&amp;P/&amp;N</oddFooter>
  </headerFooter>
  <rowBreaks count="17" manualBreakCount="17">
    <brk id="18" max="16383" man="1"/>
    <brk id="36" max="16383" man="1"/>
    <brk id="52" max="16383" man="1"/>
    <brk id="65" max="16383" man="1"/>
    <brk id="74" max="16383" man="1"/>
    <brk id="78" max="16383" man="1"/>
    <brk id="87" max="16383" man="1"/>
    <brk id="95" max="16383" man="1"/>
    <brk id="108" max="16383" man="1"/>
    <brk id="118" max="16383" man="1"/>
    <brk id="128" max="16383" man="1"/>
    <brk id="158" max="16383" man="1"/>
    <brk id="187" max="16383" man="1"/>
    <brk id="200" max="16383" man="1"/>
    <brk id="214" max="16383" man="1"/>
    <brk id="247" max="16383" man="1"/>
    <brk id="25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9"/>
  <sheetViews>
    <sheetView showZeros="0" view="pageBreakPreview" topLeftCell="A100" zoomScaleNormal="85" workbookViewId="0">
      <selection activeCell="F93" sqref="F93"/>
    </sheetView>
  </sheetViews>
  <sheetFormatPr defaultColWidth="9.33203125" defaultRowHeight="13.5"/>
  <cols>
    <col min="1" max="1" width="8.83203125" style="1" customWidth="1"/>
    <col min="2" max="2" width="71.1640625" style="61" customWidth="1"/>
    <col min="3" max="3" width="9.5" style="62" customWidth="1"/>
    <col min="4" max="4" width="8" style="62" customWidth="1"/>
    <col min="5" max="5" width="13" style="63" customWidth="1"/>
    <col min="6" max="6" width="18.6640625" style="64" customWidth="1"/>
    <col min="7" max="16384" width="9.33203125" style="61"/>
  </cols>
  <sheetData>
    <row r="1" spans="1:7" ht="20.100000000000001" customHeight="1">
      <c r="A1" s="6"/>
      <c r="B1" s="65"/>
      <c r="C1" s="61"/>
      <c r="E1" s="61"/>
      <c r="F1" s="66" t="s">
        <v>0</v>
      </c>
    </row>
    <row r="2" spans="1:7" ht="20.100000000000001" customHeight="1">
      <c r="A2" s="6"/>
      <c r="B2" s="65"/>
      <c r="C2" s="61"/>
      <c r="E2" s="61"/>
      <c r="F2" s="66" t="s">
        <v>1</v>
      </c>
    </row>
    <row r="3" spans="1:7" ht="20.100000000000001" customHeight="1">
      <c r="A3" s="67"/>
      <c r="B3" s="68"/>
      <c r="C3" s="69"/>
      <c r="D3" s="70"/>
      <c r="E3" s="69"/>
      <c r="F3" s="71" t="s">
        <v>2</v>
      </c>
    </row>
    <row r="4" spans="1:7" ht="20.100000000000001" customHeight="1">
      <c r="A4" s="72" t="s">
        <v>6</v>
      </c>
      <c r="B4" s="73"/>
      <c r="C4" s="73"/>
      <c r="D4" s="74"/>
      <c r="E4" s="61"/>
      <c r="F4" s="75"/>
    </row>
    <row r="5" spans="1:7" ht="8.25" customHeight="1">
      <c r="A5" s="18"/>
      <c r="B5" s="73"/>
      <c r="C5" s="73"/>
      <c r="D5" s="76"/>
      <c r="E5" s="61"/>
      <c r="F5" s="176"/>
      <c r="G5" s="177"/>
    </row>
    <row r="6" spans="1:7" ht="20.100000000000001" customHeight="1">
      <c r="A6" s="18" t="s">
        <v>1017</v>
      </c>
      <c r="B6" s="73"/>
      <c r="C6" s="76"/>
    </row>
    <row r="7" spans="1:7" ht="33" customHeight="1">
      <c r="A7" s="22" t="s">
        <v>166</v>
      </c>
      <c r="B7" s="178" t="s">
        <v>167</v>
      </c>
      <c r="C7" s="179" t="s">
        <v>168</v>
      </c>
      <c r="D7" s="180" t="s">
        <v>169</v>
      </c>
      <c r="E7" s="78" t="s">
        <v>144</v>
      </c>
      <c r="F7" s="79" t="s">
        <v>145</v>
      </c>
    </row>
    <row r="8" spans="1:7" ht="27" customHeight="1">
      <c r="A8" s="181"/>
      <c r="B8" s="182" t="s">
        <v>170</v>
      </c>
      <c r="C8" s="183"/>
      <c r="D8" s="184"/>
      <c r="E8" s="81"/>
      <c r="F8" s="82"/>
    </row>
    <row r="9" spans="1:7" ht="78.75" customHeight="1">
      <c r="A9" s="185" t="s">
        <v>171</v>
      </c>
      <c r="B9" s="186" t="s">
        <v>1018</v>
      </c>
      <c r="C9" s="187"/>
      <c r="D9" s="188"/>
      <c r="E9" s="41"/>
      <c r="F9" s="83"/>
    </row>
    <row r="10" spans="1:7" ht="66.75" customHeight="1">
      <c r="A10" s="185" t="s">
        <v>171</v>
      </c>
      <c r="B10" s="189" t="s">
        <v>149</v>
      </c>
      <c r="C10" s="187"/>
      <c r="D10" s="188"/>
      <c r="E10" s="41"/>
      <c r="F10" s="83"/>
    </row>
    <row r="11" spans="1:7" ht="66.75" customHeight="1">
      <c r="A11" s="190" t="s">
        <v>1019</v>
      </c>
      <c r="B11" s="189" t="s">
        <v>1020</v>
      </c>
      <c r="C11" s="187">
        <v>1</v>
      </c>
      <c r="D11" s="188" t="s">
        <v>1021</v>
      </c>
      <c r="E11" s="41"/>
      <c r="F11" s="83"/>
    </row>
    <row r="12" spans="1:7" ht="15" customHeight="1">
      <c r="A12" s="49" t="s">
        <v>1022</v>
      </c>
      <c r="B12" s="399" t="s">
        <v>1672</v>
      </c>
      <c r="C12" s="187">
        <v>1</v>
      </c>
      <c r="D12" s="188" t="s">
        <v>1021</v>
      </c>
      <c r="E12" s="41"/>
      <c r="F12" s="83"/>
    </row>
    <row r="13" spans="1:7" ht="15" customHeight="1">
      <c r="A13" s="32"/>
      <c r="B13" s="186"/>
      <c r="C13" s="187"/>
      <c r="D13" s="188"/>
      <c r="E13" s="41"/>
      <c r="F13" s="83"/>
    </row>
    <row r="14" spans="1:7" ht="15" customHeight="1">
      <c r="A14" s="32" t="s">
        <v>1023</v>
      </c>
      <c r="B14" s="191" t="s">
        <v>1024</v>
      </c>
      <c r="C14" s="95">
        <v>9</v>
      </c>
      <c r="D14" s="192" t="s">
        <v>1025</v>
      </c>
      <c r="E14" s="41"/>
      <c r="F14" s="83"/>
    </row>
    <row r="15" spans="1:7" ht="15" customHeight="1">
      <c r="A15" s="32"/>
      <c r="B15" s="186"/>
      <c r="C15" s="187"/>
      <c r="D15" s="188"/>
      <c r="E15" s="41"/>
      <c r="F15" s="83"/>
    </row>
    <row r="16" spans="1:7" ht="15" customHeight="1">
      <c r="A16" s="32" t="s">
        <v>1026</v>
      </c>
      <c r="B16" s="191" t="s">
        <v>1027</v>
      </c>
      <c r="C16" s="95">
        <v>10</v>
      </c>
      <c r="D16" s="192" t="s">
        <v>1025</v>
      </c>
      <c r="E16" s="41"/>
      <c r="F16" s="83"/>
    </row>
    <row r="17" spans="1:6" ht="15" customHeight="1">
      <c r="A17" s="32"/>
      <c r="B17" s="186"/>
      <c r="C17" s="187"/>
      <c r="D17" s="188"/>
      <c r="E17" s="41"/>
      <c r="F17" s="83"/>
    </row>
    <row r="18" spans="1:6" ht="15" customHeight="1">
      <c r="A18" s="32" t="s">
        <v>1028</v>
      </c>
      <c r="B18" s="191" t="s">
        <v>1029</v>
      </c>
      <c r="C18" s="95">
        <v>350</v>
      </c>
      <c r="D18" s="192" t="s">
        <v>1030</v>
      </c>
      <c r="E18" s="41"/>
      <c r="F18" s="83"/>
    </row>
    <row r="19" spans="1:6" ht="15" customHeight="1">
      <c r="A19" s="32"/>
      <c r="B19" s="191">
        <v>0</v>
      </c>
      <c r="C19" s="95"/>
      <c r="D19" s="192"/>
      <c r="E19" s="41"/>
      <c r="F19" s="83"/>
    </row>
    <row r="20" spans="1:6" ht="15" customHeight="1">
      <c r="A20" s="32" t="s">
        <v>1031</v>
      </c>
      <c r="B20" s="191" t="s">
        <v>1032</v>
      </c>
      <c r="C20" s="95">
        <v>48</v>
      </c>
      <c r="D20" s="192" t="s">
        <v>628</v>
      </c>
      <c r="E20" s="41"/>
      <c r="F20" s="83"/>
    </row>
    <row r="21" spans="1:6" ht="15" customHeight="1">
      <c r="A21" s="32"/>
      <c r="B21" s="191"/>
      <c r="C21" s="95"/>
      <c r="D21" s="192"/>
      <c r="E21" s="41"/>
      <c r="F21" s="83"/>
    </row>
    <row r="22" spans="1:6" ht="15" customHeight="1">
      <c r="A22" s="32" t="s">
        <v>1033</v>
      </c>
      <c r="B22" s="191" t="s">
        <v>1034</v>
      </c>
      <c r="C22" s="95">
        <v>100</v>
      </c>
      <c r="D22" s="192" t="s">
        <v>411</v>
      </c>
      <c r="E22" s="41"/>
      <c r="F22" s="83"/>
    </row>
    <row r="23" spans="1:6" ht="15" customHeight="1">
      <c r="A23" s="32"/>
      <c r="B23" s="191"/>
      <c r="C23" s="95"/>
      <c r="D23" s="192"/>
      <c r="E23" s="41"/>
      <c r="F23" s="83"/>
    </row>
    <row r="24" spans="1:6" ht="15" customHeight="1">
      <c r="A24" s="32" t="s">
        <v>1035</v>
      </c>
      <c r="B24" s="191" t="s">
        <v>1036</v>
      </c>
      <c r="C24" s="95">
        <v>100</v>
      </c>
      <c r="D24" s="192" t="s">
        <v>411</v>
      </c>
      <c r="E24" s="41"/>
      <c r="F24" s="83"/>
    </row>
    <row r="25" spans="1:6" ht="15" customHeight="1">
      <c r="A25" s="32"/>
      <c r="B25" s="191"/>
      <c r="C25" s="95"/>
      <c r="D25" s="192"/>
      <c r="E25" s="41"/>
      <c r="F25" s="83"/>
    </row>
    <row r="26" spans="1:6" ht="15" customHeight="1">
      <c r="A26" s="32" t="s">
        <v>1037</v>
      </c>
      <c r="B26" s="90" t="s">
        <v>1038</v>
      </c>
      <c r="C26" s="95">
        <v>19</v>
      </c>
      <c r="D26" s="192" t="s">
        <v>1039</v>
      </c>
      <c r="E26" s="41"/>
      <c r="F26" s="83"/>
    </row>
    <row r="27" spans="1:6" ht="15" customHeight="1">
      <c r="A27" s="32"/>
      <c r="B27" s="90"/>
      <c r="C27" s="95"/>
      <c r="D27" s="192"/>
      <c r="E27" s="41"/>
      <c r="F27" s="83"/>
    </row>
    <row r="28" spans="1:6" ht="15" customHeight="1">
      <c r="A28" s="32" t="s">
        <v>1040</v>
      </c>
      <c r="B28" s="90" t="s">
        <v>1041</v>
      </c>
      <c r="C28" s="95">
        <v>10</v>
      </c>
      <c r="D28" s="192" t="s">
        <v>1039</v>
      </c>
      <c r="E28" s="41"/>
      <c r="F28" s="83"/>
    </row>
    <row r="29" spans="1:6" ht="15" customHeight="1">
      <c r="A29" s="32"/>
      <c r="B29" s="90"/>
      <c r="C29" s="95"/>
      <c r="D29" s="192"/>
      <c r="E29" s="41"/>
      <c r="F29" s="83"/>
    </row>
    <row r="30" spans="1:6" ht="15" customHeight="1">
      <c r="A30" s="32" t="s">
        <v>1042</v>
      </c>
      <c r="B30" s="90" t="s">
        <v>1043</v>
      </c>
      <c r="C30" s="95">
        <v>19</v>
      </c>
      <c r="D30" s="192" t="s">
        <v>628</v>
      </c>
      <c r="E30" s="41"/>
      <c r="F30" s="83"/>
    </row>
    <row r="31" spans="1:6" ht="15" customHeight="1">
      <c r="A31" s="32"/>
      <c r="B31" s="191"/>
      <c r="C31" s="95"/>
      <c r="D31" s="192"/>
      <c r="E31" s="41"/>
      <c r="F31" s="83"/>
    </row>
    <row r="32" spans="1:6" ht="15" customHeight="1">
      <c r="A32" s="32" t="s">
        <v>1044</v>
      </c>
      <c r="B32" s="191" t="s">
        <v>1045</v>
      </c>
      <c r="C32" s="95">
        <v>19</v>
      </c>
      <c r="D32" s="192" t="s">
        <v>1039</v>
      </c>
      <c r="E32" s="41"/>
      <c r="F32" s="83"/>
    </row>
    <row r="33" spans="1:6" ht="15" customHeight="1">
      <c r="A33" s="32"/>
      <c r="B33" s="191"/>
      <c r="C33" s="95"/>
      <c r="D33" s="192"/>
      <c r="E33" s="41"/>
      <c r="F33" s="83"/>
    </row>
    <row r="34" spans="1:6" ht="15" customHeight="1">
      <c r="A34" s="32" t="s">
        <v>1046</v>
      </c>
      <c r="B34" s="191" t="s">
        <v>1047</v>
      </c>
      <c r="C34" s="95">
        <v>19</v>
      </c>
      <c r="D34" s="192" t="s">
        <v>1039</v>
      </c>
      <c r="E34" s="41"/>
      <c r="F34" s="83"/>
    </row>
    <row r="35" spans="1:6" ht="15" customHeight="1">
      <c r="A35" s="32"/>
      <c r="B35" s="191"/>
      <c r="C35" s="95"/>
      <c r="D35" s="192"/>
      <c r="E35" s="41"/>
      <c r="F35" s="83"/>
    </row>
    <row r="36" spans="1:6" ht="15" customHeight="1">
      <c r="A36" s="32" t="s">
        <v>1048</v>
      </c>
      <c r="B36" s="191" t="s">
        <v>1049</v>
      </c>
      <c r="C36" s="95">
        <v>200</v>
      </c>
      <c r="D36" s="192" t="s">
        <v>411</v>
      </c>
      <c r="E36" s="41"/>
      <c r="F36" s="83"/>
    </row>
    <row r="37" spans="1:6" ht="15" customHeight="1">
      <c r="A37" s="32"/>
      <c r="B37" s="191"/>
      <c r="C37" s="95"/>
      <c r="D37" s="192"/>
      <c r="E37" s="41"/>
      <c r="F37" s="83"/>
    </row>
    <row r="38" spans="1:6" ht="15" customHeight="1">
      <c r="A38" s="32" t="s">
        <v>1050</v>
      </c>
      <c r="B38" s="191" t="s">
        <v>1051</v>
      </c>
      <c r="C38" s="95">
        <v>200</v>
      </c>
      <c r="D38" s="192" t="s">
        <v>411</v>
      </c>
      <c r="E38" s="41"/>
      <c r="F38" s="83"/>
    </row>
    <row r="39" spans="1:6" ht="15" customHeight="1">
      <c r="A39" s="32"/>
      <c r="B39" s="191"/>
      <c r="C39" s="95"/>
      <c r="D39" s="192"/>
      <c r="E39" s="41"/>
      <c r="F39" s="83"/>
    </row>
    <row r="40" spans="1:6" ht="15" customHeight="1">
      <c r="A40" s="32" t="s">
        <v>1052</v>
      </c>
      <c r="B40" s="191" t="s">
        <v>1053</v>
      </c>
      <c r="C40" s="95">
        <v>200</v>
      </c>
      <c r="D40" s="192" t="s">
        <v>411</v>
      </c>
      <c r="E40" s="41"/>
      <c r="F40" s="83"/>
    </row>
    <row r="41" spans="1:6" ht="15" customHeight="1">
      <c r="A41" s="32"/>
      <c r="B41" s="191"/>
      <c r="C41" s="95"/>
      <c r="D41" s="192"/>
      <c r="E41" s="41"/>
      <c r="F41" s="83"/>
    </row>
    <row r="42" spans="1:6" ht="15" customHeight="1">
      <c r="A42" s="32" t="s">
        <v>1054</v>
      </c>
      <c r="B42" s="191" t="s">
        <v>1055</v>
      </c>
      <c r="C42" s="95">
        <v>1</v>
      </c>
      <c r="D42" s="192" t="s">
        <v>1021</v>
      </c>
      <c r="E42" s="41"/>
      <c r="F42" s="83"/>
    </row>
    <row r="43" spans="1:6" ht="15" customHeight="1">
      <c r="A43" s="32"/>
      <c r="B43" s="191"/>
      <c r="C43" s="95"/>
      <c r="D43" s="192"/>
      <c r="E43" s="41"/>
      <c r="F43" s="83"/>
    </row>
    <row r="44" spans="1:6" ht="15" customHeight="1">
      <c r="A44" s="32" t="s">
        <v>1056</v>
      </c>
      <c r="B44" s="90" t="s">
        <v>1057</v>
      </c>
      <c r="C44" s="95">
        <v>1</v>
      </c>
      <c r="D44" s="192" t="s">
        <v>1021</v>
      </c>
      <c r="E44" s="41"/>
      <c r="F44" s="83"/>
    </row>
    <row r="45" spans="1:6" ht="15" customHeight="1">
      <c r="A45" s="32"/>
      <c r="B45" s="90"/>
      <c r="C45" s="95"/>
      <c r="D45" s="192"/>
      <c r="E45" s="41"/>
      <c r="F45" s="83"/>
    </row>
    <row r="46" spans="1:6" ht="15" customHeight="1">
      <c r="A46" s="32" t="s">
        <v>1058</v>
      </c>
      <c r="B46" s="191" t="s">
        <v>1059</v>
      </c>
      <c r="C46" s="95">
        <v>1</v>
      </c>
      <c r="D46" s="192" t="s">
        <v>1021</v>
      </c>
      <c r="E46" s="41"/>
      <c r="F46" s="83"/>
    </row>
    <row r="47" spans="1:6" ht="15" customHeight="1">
      <c r="A47" s="32"/>
      <c r="B47" s="191"/>
      <c r="C47" s="95"/>
      <c r="D47" s="192"/>
      <c r="E47" s="41"/>
      <c r="F47" s="83"/>
    </row>
    <row r="48" spans="1:6" ht="15" customHeight="1">
      <c r="A48" s="32" t="s">
        <v>1060</v>
      </c>
      <c r="B48" s="191" t="s">
        <v>1061</v>
      </c>
      <c r="C48" s="95">
        <v>1</v>
      </c>
      <c r="D48" s="192" t="s">
        <v>1021</v>
      </c>
      <c r="E48" s="41"/>
      <c r="F48" s="83"/>
    </row>
    <row r="49" spans="1:6" ht="15" customHeight="1">
      <c r="A49" s="32"/>
      <c r="B49" s="191"/>
      <c r="C49" s="95"/>
      <c r="D49" s="192"/>
      <c r="E49" s="41"/>
      <c r="F49" s="83"/>
    </row>
    <row r="50" spans="1:6" ht="15" customHeight="1">
      <c r="A50" s="49" t="s">
        <v>1022</v>
      </c>
      <c r="B50" s="399" t="s">
        <v>1671</v>
      </c>
      <c r="C50" s="187"/>
      <c r="D50" s="188"/>
      <c r="E50" s="41"/>
      <c r="F50" s="83"/>
    </row>
    <row r="51" spans="1:6" ht="15" customHeight="1">
      <c r="A51" s="32"/>
      <c r="B51" s="186"/>
      <c r="C51" s="187"/>
      <c r="D51" s="188"/>
      <c r="E51" s="41"/>
      <c r="F51" s="83"/>
    </row>
    <row r="52" spans="1:6" ht="15" customHeight="1">
      <c r="A52" s="32" t="s">
        <v>1023</v>
      </c>
      <c r="B52" s="191" t="s">
        <v>1062</v>
      </c>
      <c r="C52" s="95">
        <v>16</v>
      </c>
      <c r="D52" s="192" t="s">
        <v>1025</v>
      </c>
      <c r="E52" s="41"/>
      <c r="F52" s="83">
        <f>C52*E52</f>
        <v>0</v>
      </c>
    </row>
    <row r="53" spans="1:6" ht="15" customHeight="1">
      <c r="A53" s="32"/>
      <c r="B53" s="186"/>
      <c r="C53" s="187"/>
      <c r="D53" s="188"/>
      <c r="E53" s="41"/>
      <c r="F53" s="83">
        <f t="shared" ref="F53:F82" si="0">C53*E53</f>
        <v>0</v>
      </c>
    </row>
    <row r="54" spans="1:6" ht="15.75" customHeight="1">
      <c r="A54" s="32" t="s">
        <v>1026</v>
      </c>
      <c r="B54" s="191" t="s">
        <v>1063</v>
      </c>
      <c r="C54" s="95">
        <v>10</v>
      </c>
      <c r="D54" s="192" t="s">
        <v>1025</v>
      </c>
      <c r="E54" s="41"/>
      <c r="F54" s="83">
        <f t="shared" si="0"/>
        <v>0</v>
      </c>
    </row>
    <row r="55" spans="1:6" ht="15.75" customHeight="1">
      <c r="A55" s="32"/>
      <c r="B55" s="191"/>
      <c r="C55" s="95"/>
      <c r="D55" s="192"/>
      <c r="E55" s="41"/>
      <c r="F55" s="83">
        <f t="shared" si="0"/>
        <v>0</v>
      </c>
    </row>
    <row r="56" spans="1:6" ht="15.75" customHeight="1">
      <c r="A56" s="32" t="s">
        <v>1028</v>
      </c>
      <c r="B56" s="191" t="s">
        <v>1027</v>
      </c>
      <c r="C56" s="95">
        <v>28</v>
      </c>
      <c r="D56" s="192" t="s">
        <v>1025</v>
      </c>
      <c r="E56" s="41"/>
      <c r="F56" s="83">
        <f t="shared" si="0"/>
        <v>0</v>
      </c>
    </row>
    <row r="57" spans="1:6" ht="15.75" customHeight="1">
      <c r="A57" s="32"/>
      <c r="B57" s="191"/>
      <c r="C57" s="95"/>
      <c r="D57" s="192"/>
      <c r="E57" s="41"/>
      <c r="F57" s="83">
        <f t="shared" si="0"/>
        <v>0</v>
      </c>
    </row>
    <row r="58" spans="1:6" ht="15.75" customHeight="1">
      <c r="A58" s="32" t="s">
        <v>1031</v>
      </c>
      <c r="B58" s="191" t="s">
        <v>1064</v>
      </c>
      <c r="C58" s="95">
        <v>3</v>
      </c>
      <c r="D58" s="192" t="s">
        <v>1025</v>
      </c>
      <c r="E58" s="41"/>
      <c r="F58" s="83">
        <f t="shared" si="0"/>
        <v>0</v>
      </c>
    </row>
    <row r="59" spans="1:6" ht="15.75" customHeight="1">
      <c r="A59" s="32"/>
      <c r="B59" s="191"/>
      <c r="C59" s="95"/>
      <c r="D59" s="192"/>
      <c r="E59" s="41"/>
      <c r="F59" s="83">
        <f t="shared" si="0"/>
        <v>0</v>
      </c>
    </row>
    <row r="60" spans="1:6" ht="15" customHeight="1">
      <c r="A60" s="32" t="s">
        <v>1033</v>
      </c>
      <c r="B60" s="191" t="s">
        <v>1029</v>
      </c>
      <c r="C60" s="95">
        <v>1000</v>
      </c>
      <c r="D60" s="192" t="s">
        <v>1030</v>
      </c>
      <c r="E60" s="41"/>
      <c r="F60" s="83">
        <f t="shared" si="0"/>
        <v>0</v>
      </c>
    </row>
    <row r="61" spans="1:6" ht="15" customHeight="1">
      <c r="A61" s="32"/>
      <c r="B61" s="191">
        <v>0</v>
      </c>
      <c r="C61" s="95"/>
      <c r="D61" s="192"/>
      <c r="E61" s="41"/>
      <c r="F61" s="83">
        <f t="shared" si="0"/>
        <v>0</v>
      </c>
    </row>
    <row r="62" spans="1:6" ht="15" customHeight="1">
      <c r="A62" s="32" t="s">
        <v>1035</v>
      </c>
      <c r="B62" s="191" t="s">
        <v>1032</v>
      </c>
      <c r="C62" s="95">
        <v>57</v>
      </c>
      <c r="D62" s="192" t="s">
        <v>628</v>
      </c>
      <c r="E62" s="41"/>
      <c r="F62" s="83">
        <f t="shared" si="0"/>
        <v>0</v>
      </c>
    </row>
    <row r="63" spans="1:6" ht="15" customHeight="1">
      <c r="A63" s="32"/>
      <c r="B63" s="191"/>
      <c r="C63" s="95"/>
      <c r="D63" s="192"/>
      <c r="E63" s="41"/>
      <c r="F63" s="83">
        <f t="shared" si="0"/>
        <v>0</v>
      </c>
    </row>
    <row r="64" spans="1:6" ht="15" customHeight="1">
      <c r="A64" s="32" t="s">
        <v>1037</v>
      </c>
      <c r="B64" s="191" t="s">
        <v>1034</v>
      </c>
      <c r="C64" s="95">
        <v>200</v>
      </c>
      <c r="D64" s="192" t="s">
        <v>411</v>
      </c>
      <c r="E64" s="41"/>
      <c r="F64" s="83">
        <f t="shared" si="0"/>
        <v>0</v>
      </c>
    </row>
    <row r="65" spans="1:6" ht="15" customHeight="1">
      <c r="A65" s="32"/>
      <c r="B65" s="191"/>
      <c r="C65" s="95"/>
      <c r="D65" s="192"/>
      <c r="E65" s="41"/>
      <c r="F65" s="83">
        <f t="shared" si="0"/>
        <v>0</v>
      </c>
    </row>
    <row r="66" spans="1:6" ht="15" customHeight="1">
      <c r="A66" s="32" t="s">
        <v>1040</v>
      </c>
      <c r="B66" s="191" t="s">
        <v>1036</v>
      </c>
      <c r="C66" s="95">
        <v>200</v>
      </c>
      <c r="D66" s="192" t="s">
        <v>411</v>
      </c>
      <c r="E66" s="41"/>
      <c r="F66" s="83">
        <f t="shared" si="0"/>
        <v>0</v>
      </c>
    </row>
    <row r="67" spans="1:6" ht="15" customHeight="1">
      <c r="A67" s="32"/>
      <c r="B67" s="191"/>
      <c r="C67" s="95"/>
      <c r="D67" s="192"/>
      <c r="E67" s="41"/>
      <c r="F67" s="83">
        <f t="shared" si="0"/>
        <v>0</v>
      </c>
    </row>
    <row r="68" spans="1:6" ht="15" customHeight="1">
      <c r="A68" s="32" t="s">
        <v>1042</v>
      </c>
      <c r="B68" s="90" t="s">
        <v>1038</v>
      </c>
      <c r="C68" s="95">
        <v>51</v>
      </c>
      <c r="D68" s="192" t="s">
        <v>1039</v>
      </c>
      <c r="E68" s="41"/>
      <c r="F68" s="83">
        <f t="shared" si="0"/>
        <v>0</v>
      </c>
    </row>
    <row r="69" spans="1:6" ht="15" customHeight="1">
      <c r="A69" s="32"/>
      <c r="B69" s="90"/>
      <c r="C69" s="95"/>
      <c r="D69" s="192"/>
      <c r="E69" s="41"/>
      <c r="F69" s="83">
        <f t="shared" si="0"/>
        <v>0</v>
      </c>
    </row>
    <row r="70" spans="1:6" ht="15" customHeight="1">
      <c r="A70" s="32" t="s">
        <v>1044</v>
      </c>
      <c r="B70" s="90" t="s">
        <v>1041</v>
      </c>
      <c r="C70" s="95">
        <v>51</v>
      </c>
      <c r="D70" s="192" t="s">
        <v>1039</v>
      </c>
      <c r="E70" s="41"/>
      <c r="F70" s="83">
        <f t="shared" si="0"/>
        <v>0</v>
      </c>
    </row>
    <row r="71" spans="1:6" ht="15" customHeight="1">
      <c r="A71" s="32"/>
      <c r="B71" s="90"/>
      <c r="C71" s="95"/>
      <c r="D71" s="192"/>
      <c r="E71" s="41"/>
      <c r="F71" s="83">
        <f t="shared" si="0"/>
        <v>0</v>
      </c>
    </row>
    <row r="72" spans="1:6" ht="15" customHeight="1">
      <c r="A72" s="32" t="s">
        <v>1046</v>
      </c>
      <c r="B72" s="90" t="s">
        <v>1043</v>
      </c>
      <c r="C72" s="95">
        <v>51</v>
      </c>
      <c r="D72" s="192" t="s">
        <v>628</v>
      </c>
      <c r="E72" s="41"/>
      <c r="F72" s="83">
        <f t="shared" si="0"/>
        <v>0</v>
      </c>
    </row>
    <row r="73" spans="1:6" ht="15" customHeight="1">
      <c r="A73" s="32"/>
      <c r="B73" s="191"/>
      <c r="C73" s="95"/>
      <c r="D73" s="192"/>
      <c r="E73" s="41"/>
      <c r="F73" s="83">
        <f t="shared" si="0"/>
        <v>0</v>
      </c>
    </row>
    <row r="74" spans="1:6" ht="15" customHeight="1">
      <c r="A74" s="32" t="s">
        <v>1048</v>
      </c>
      <c r="B74" s="191" t="s">
        <v>1045</v>
      </c>
      <c r="C74" s="95">
        <v>51</v>
      </c>
      <c r="D74" s="192" t="s">
        <v>1039</v>
      </c>
      <c r="E74" s="41"/>
      <c r="F74" s="83">
        <f t="shared" si="0"/>
        <v>0</v>
      </c>
    </row>
    <row r="75" spans="1:6" ht="15" customHeight="1">
      <c r="A75" s="32"/>
      <c r="B75" s="191"/>
      <c r="C75" s="95"/>
      <c r="D75" s="192"/>
      <c r="E75" s="41"/>
      <c r="F75" s="83">
        <f t="shared" si="0"/>
        <v>0</v>
      </c>
    </row>
    <row r="76" spans="1:6" ht="15" customHeight="1">
      <c r="A76" s="32" t="s">
        <v>1050</v>
      </c>
      <c r="B76" s="191" t="s">
        <v>1047</v>
      </c>
      <c r="C76" s="95">
        <v>51</v>
      </c>
      <c r="D76" s="192" t="s">
        <v>1039</v>
      </c>
      <c r="E76" s="41"/>
      <c r="F76" s="83">
        <f t="shared" si="0"/>
        <v>0</v>
      </c>
    </row>
    <row r="77" spans="1:6" ht="15" customHeight="1">
      <c r="A77" s="32"/>
      <c r="B77" s="191"/>
      <c r="C77" s="95"/>
      <c r="D77" s="192"/>
      <c r="E77" s="41"/>
      <c r="F77" s="83">
        <f t="shared" si="0"/>
        <v>0</v>
      </c>
    </row>
    <row r="78" spans="1:6" ht="15" customHeight="1">
      <c r="A78" s="32" t="s">
        <v>1052</v>
      </c>
      <c r="B78" s="191" t="s">
        <v>1049</v>
      </c>
      <c r="C78" s="95">
        <v>350</v>
      </c>
      <c r="D78" s="192" t="s">
        <v>411</v>
      </c>
      <c r="E78" s="41"/>
      <c r="F78" s="83">
        <f t="shared" si="0"/>
        <v>0</v>
      </c>
    </row>
    <row r="79" spans="1:6" ht="15" customHeight="1">
      <c r="A79" s="32"/>
      <c r="B79" s="191"/>
      <c r="C79" s="95"/>
      <c r="D79" s="192"/>
      <c r="E79" s="41"/>
      <c r="F79" s="83">
        <f t="shared" si="0"/>
        <v>0</v>
      </c>
    </row>
    <row r="80" spans="1:6" ht="15" customHeight="1">
      <c r="A80" s="32" t="s">
        <v>1054</v>
      </c>
      <c r="B80" s="191" t="s">
        <v>1051</v>
      </c>
      <c r="C80" s="95">
        <v>350</v>
      </c>
      <c r="D80" s="192" t="s">
        <v>411</v>
      </c>
      <c r="E80" s="41"/>
      <c r="F80" s="83">
        <f t="shared" si="0"/>
        <v>0</v>
      </c>
    </row>
    <row r="81" spans="1:6" ht="15" customHeight="1">
      <c r="A81" s="32"/>
      <c r="B81" s="191"/>
      <c r="C81" s="95"/>
      <c r="D81" s="192"/>
      <c r="E81" s="41"/>
      <c r="F81" s="83">
        <f t="shared" si="0"/>
        <v>0</v>
      </c>
    </row>
    <row r="82" spans="1:6" ht="15" customHeight="1">
      <c r="A82" s="32" t="s">
        <v>1056</v>
      </c>
      <c r="B82" s="191" t="s">
        <v>1053</v>
      </c>
      <c r="C82" s="95">
        <v>350</v>
      </c>
      <c r="D82" s="192" t="s">
        <v>411</v>
      </c>
      <c r="E82" s="41"/>
      <c r="F82" s="83">
        <f t="shared" si="0"/>
        <v>0</v>
      </c>
    </row>
    <row r="83" spans="1:6" ht="15" customHeight="1">
      <c r="A83" s="32"/>
      <c r="B83" s="191"/>
      <c r="C83" s="95"/>
      <c r="D83" s="192"/>
      <c r="E83" s="41"/>
      <c r="F83" s="83"/>
    </row>
    <row r="84" spans="1:6" ht="15" customHeight="1">
      <c r="A84" s="32" t="s">
        <v>1058</v>
      </c>
      <c r="B84" s="191" t="s">
        <v>1055</v>
      </c>
      <c r="C84" s="95">
        <v>1</v>
      </c>
      <c r="D84" s="192" t="s">
        <v>1021</v>
      </c>
      <c r="E84" s="41"/>
      <c r="F84" s="83"/>
    </row>
    <row r="85" spans="1:6" ht="15" customHeight="1">
      <c r="A85" s="32"/>
      <c r="B85" s="191"/>
      <c r="C85" s="95"/>
      <c r="D85" s="192"/>
      <c r="E85" s="41"/>
      <c r="F85" s="83"/>
    </row>
    <row r="86" spans="1:6" ht="15" customHeight="1">
      <c r="A86" s="32" t="s">
        <v>1060</v>
      </c>
      <c r="B86" s="90" t="s">
        <v>1057</v>
      </c>
      <c r="C86" s="95">
        <v>1</v>
      </c>
      <c r="D86" s="192" t="s">
        <v>1021</v>
      </c>
      <c r="E86" s="41"/>
      <c r="F86" s="83"/>
    </row>
    <row r="87" spans="1:6" ht="15" customHeight="1">
      <c r="A87" s="32"/>
      <c r="B87" s="90"/>
      <c r="C87" s="95"/>
      <c r="D87" s="192"/>
      <c r="E87" s="41"/>
      <c r="F87" s="83"/>
    </row>
    <row r="88" spans="1:6" ht="15" customHeight="1">
      <c r="A88" s="32" t="s">
        <v>1065</v>
      </c>
      <c r="B88" s="191" t="s">
        <v>1059</v>
      </c>
      <c r="C88" s="95">
        <v>1</v>
      </c>
      <c r="D88" s="192" t="s">
        <v>1021</v>
      </c>
      <c r="E88" s="41"/>
      <c r="F88" s="83"/>
    </row>
    <row r="89" spans="1:6" ht="15" customHeight="1">
      <c r="A89" s="32"/>
      <c r="B89" s="191"/>
      <c r="C89" s="95"/>
      <c r="D89" s="192"/>
      <c r="E89" s="41"/>
      <c r="F89" s="83"/>
    </row>
    <row r="90" spans="1:6" ht="15" customHeight="1">
      <c r="A90" s="32" t="s">
        <v>1066</v>
      </c>
      <c r="B90" s="191" t="s">
        <v>1061</v>
      </c>
      <c r="C90" s="95">
        <v>1</v>
      </c>
      <c r="D90" s="192" t="s">
        <v>1021</v>
      </c>
      <c r="E90" s="41"/>
      <c r="F90" s="83"/>
    </row>
    <row r="91" spans="1:6" ht="15" customHeight="1">
      <c r="A91" s="32"/>
      <c r="B91" s="191"/>
      <c r="C91" s="95"/>
      <c r="D91" s="192"/>
      <c r="E91" s="41"/>
      <c r="F91" s="83"/>
    </row>
    <row r="92" spans="1:6" ht="15" customHeight="1">
      <c r="A92" s="32"/>
      <c r="B92" s="191"/>
      <c r="C92" s="95"/>
      <c r="D92" s="192"/>
      <c r="E92" s="41"/>
      <c r="F92" s="83"/>
    </row>
    <row r="93" spans="1:6" ht="15" customHeight="1">
      <c r="A93" s="39" t="s">
        <v>1067</v>
      </c>
      <c r="B93" s="193" t="s">
        <v>1673</v>
      </c>
      <c r="C93" s="95">
        <v>1</v>
      </c>
      <c r="D93" s="192" t="s">
        <v>1021</v>
      </c>
      <c r="E93" s="41"/>
      <c r="F93" s="83"/>
    </row>
    <row r="94" spans="1:6" ht="15" customHeight="1">
      <c r="A94" s="39"/>
      <c r="B94" s="193"/>
      <c r="C94" s="95"/>
      <c r="D94" s="192"/>
      <c r="E94" s="41"/>
      <c r="F94" s="83"/>
    </row>
    <row r="95" spans="1:6" ht="15" customHeight="1">
      <c r="A95" s="32" t="s">
        <v>1068</v>
      </c>
      <c r="B95" s="191" t="s">
        <v>1069</v>
      </c>
      <c r="C95" s="95">
        <v>2</v>
      </c>
      <c r="D95" s="192" t="s">
        <v>1025</v>
      </c>
      <c r="E95" s="41"/>
      <c r="F95" s="83"/>
    </row>
    <row r="96" spans="1:6" ht="15" customHeight="1">
      <c r="A96" s="32"/>
      <c r="B96" s="191"/>
      <c r="C96" s="95"/>
      <c r="D96" s="192"/>
      <c r="E96" s="41"/>
      <c r="F96" s="83"/>
    </row>
    <row r="97" spans="1:6" ht="15" customHeight="1">
      <c r="A97" s="32"/>
      <c r="B97" s="191" t="s">
        <v>1070</v>
      </c>
      <c r="C97" s="95"/>
      <c r="D97" s="192"/>
      <c r="E97" s="41"/>
      <c r="F97" s="83"/>
    </row>
    <row r="98" spans="1:6" ht="15" customHeight="1">
      <c r="A98" s="32" t="s">
        <v>1071</v>
      </c>
      <c r="B98" s="191" t="s">
        <v>1072</v>
      </c>
      <c r="C98" s="95">
        <v>13</v>
      </c>
      <c r="D98" s="192" t="s">
        <v>1025</v>
      </c>
      <c r="E98" s="41"/>
      <c r="F98" s="83"/>
    </row>
    <row r="99" spans="1:6" ht="15" customHeight="1">
      <c r="A99" s="32" t="s">
        <v>1073</v>
      </c>
      <c r="B99" s="191" t="s">
        <v>1074</v>
      </c>
      <c r="C99" s="95">
        <v>4</v>
      </c>
      <c r="D99" s="192" t="s">
        <v>1025</v>
      </c>
      <c r="E99" s="41"/>
      <c r="F99" s="83"/>
    </row>
    <row r="100" spans="1:6" ht="15" customHeight="1">
      <c r="A100" s="32" t="s">
        <v>1075</v>
      </c>
      <c r="B100" s="191" t="s">
        <v>1076</v>
      </c>
      <c r="C100" s="95">
        <v>6</v>
      </c>
      <c r="D100" s="192" t="s">
        <v>1025</v>
      </c>
      <c r="E100" s="41"/>
      <c r="F100" s="83"/>
    </row>
    <row r="101" spans="1:6" ht="15" customHeight="1">
      <c r="A101" s="32" t="s">
        <v>1077</v>
      </c>
      <c r="B101" s="191" t="s">
        <v>1078</v>
      </c>
      <c r="C101" s="95">
        <v>1</v>
      </c>
      <c r="D101" s="192" t="s">
        <v>1025</v>
      </c>
      <c r="E101" s="41"/>
      <c r="F101" s="83"/>
    </row>
    <row r="102" spans="1:6" ht="15" customHeight="1">
      <c r="A102" s="32"/>
      <c r="B102" s="191"/>
      <c r="C102" s="95"/>
      <c r="D102" s="192"/>
      <c r="E102" s="41"/>
      <c r="F102" s="83"/>
    </row>
    <row r="103" spans="1:6" ht="15" customHeight="1">
      <c r="A103" s="32" t="s">
        <v>1079</v>
      </c>
      <c r="B103" s="191" t="s">
        <v>1080</v>
      </c>
      <c r="C103" s="95">
        <v>24</v>
      </c>
      <c r="D103" s="192" t="s">
        <v>628</v>
      </c>
      <c r="E103" s="41"/>
      <c r="F103" s="83"/>
    </row>
    <row r="104" spans="1:6" ht="15" customHeight="1">
      <c r="A104" s="32"/>
      <c r="B104" s="191"/>
      <c r="C104" s="95"/>
      <c r="D104" s="192"/>
      <c r="E104" s="41"/>
      <c r="F104" s="83"/>
    </row>
    <row r="105" spans="1:6" ht="15" customHeight="1">
      <c r="A105" s="32" t="s">
        <v>1081</v>
      </c>
      <c r="B105" s="191" t="s">
        <v>1082</v>
      </c>
      <c r="C105" s="95">
        <v>2</v>
      </c>
      <c r="D105" s="192" t="s">
        <v>699</v>
      </c>
      <c r="E105" s="41"/>
      <c r="F105" s="83"/>
    </row>
    <row r="106" spans="1:6" ht="15" customHeight="1">
      <c r="A106" s="32"/>
      <c r="B106" s="191"/>
      <c r="C106" s="95"/>
      <c r="D106" s="192"/>
      <c r="E106" s="41"/>
      <c r="F106" s="83"/>
    </row>
    <row r="107" spans="1:6" ht="15" customHeight="1">
      <c r="A107" s="32" t="s">
        <v>1083</v>
      </c>
      <c r="B107" s="191" t="s">
        <v>1084</v>
      </c>
      <c r="C107" s="95"/>
      <c r="D107" s="192"/>
      <c r="E107" s="41"/>
      <c r="F107" s="83"/>
    </row>
    <row r="108" spans="1:6" ht="15" customHeight="1">
      <c r="A108" s="32"/>
      <c r="B108" s="191"/>
      <c r="C108" s="95"/>
      <c r="D108" s="192"/>
      <c r="E108" s="41"/>
      <c r="F108" s="83"/>
    </row>
    <row r="109" spans="1:6" ht="15" customHeight="1">
      <c r="A109" s="32" t="s">
        <v>1085</v>
      </c>
      <c r="B109" s="191" t="s">
        <v>1086</v>
      </c>
      <c r="C109" s="95">
        <v>2</v>
      </c>
      <c r="D109" s="192" t="s">
        <v>1021</v>
      </c>
      <c r="E109" s="41"/>
      <c r="F109" s="83"/>
    </row>
    <row r="110" spans="1:6" ht="15" customHeight="1">
      <c r="A110" s="32"/>
      <c r="B110" s="191"/>
      <c r="C110" s="95"/>
      <c r="D110" s="192"/>
      <c r="E110" s="41"/>
      <c r="F110" s="83"/>
    </row>
    <row r="111" spans="1:6" ht="15" customHeight="1">
      <c r="A111" s="32" t="s">
        <v>1087</v>
      </c>
      <c r="B111" s="191" t="s">
        <v>1088</v>
      </c>
      <c r="C111" s="95">
        <v>2</v>
      </c>
      <c r="D111" s="192" t="s">
        <v>1021</v>
      </c>
      <c r="E111" s="41"/>
      <c r="F111" s="83"/>
    </row>
    <row r="112" spans="1:6" ht="15" customHeight="1">
      <c r="A112" s="32"/>
      <c r="B112" s="191"/>
      <c r="C112" s="95"/>
      <c r="D112" s="192"/>
      <c r="E112" s="41"/>
      <c r="F112" s="83"/>
    </row>
    <row r="113" spans="1:6" ht="15" customHeight="1">
      <c r="A113" s="32" t="s">
        <v>1089</v>
      </c>
      <c r="B113" s="191" t="s">
        <v>1090</v>
      </c>
      <c r="C113" s="95">
        <v>2</v>
      </c>
      <c r="D113" s="192" t="s">
        <v>1021</v>
      </c>
      <c r="E113" s="41"/>
      <c r="F113" s="83"/>
    </row>
    <row r="114" spans="1:6" ht="15" customHeight="1">
      <c r="A114" s="32"/>
      <c r="B114" s="191"/>
      <c r="C114" s="95"/>
      <c r="D114" s="192"/>
      <c r="E114" s="41"/>
      <c r="F114" s="83"/>
    </row>
    <row r="115" spans="1:6" ht="15" customHeight="1">
      <c r="A115" s="32" t="s">
        <v>1091</v>
      </c>
      <c r="B115" s="191" t="s">
        <v>1092</v>
      </c>
      <c r="C115" s="95">
        <v>24</v>
      </c>
      <c r="D115" s="192" t="s">
        <v>1025</v>
      </c>
      <c r="E115" s="41"/>
      <c r="F115" s="83"/>
    </row>
    <row r="116" spans="1:6" ht="15" customHeight="1">
      <c r="A116" s="32"/>
      <c r="B116" s="191"/>
      <c r="C116" s="95"/>
      <c r="D116" s="192"/>
      <c r="E116" s="41"/>
      <c r="F116" s="83"/>
    </row>
    <row r="117" spans="1:6" ht="15" customHeight="1">
      <c r="A117" s="32" t="s">
        <v>1093</v>
      </c>
      <c r="B117" s="191" t="s">
        <v>1094</v>
      </c>
      <c r="C117" s="95">
        <v>2</v>
      </c>
      <c r="D117" s="192" t="s">
        <v>1021</v>
      </c>
      <c r="E117" s="41"/>
      <c r="F117" s="83"/>
    </row>
    <row r="118" spans="1:6" ht="15" customHeight="1">
      <c r="A118" s="32"/>
      <c r="B118" s="191"/>
      <c r="C118" s="95"/>
      <c r="D118" s="192"/>
      <c r="E118" s="41"/>
      <c r="F118" s="83"/>
    </row>
    <row r="119" spans="1:6" ht="15" customHeight="1">
      <c r="A119" s="32" t="s">
        <v>1095</v>
      </c>
      <c r="B119" s="191" t="s">
        <v>1096</v>
      </c>
      <c r="C119" s="95">
        <v>2</v>
      </c>
      <c r="D119" s="192" t="s">
        <v>1021</v>
      </c>
      <c r="E119" s="41"/>
      <c r="F119" s="83"/>
    </row>
    <row r="120" spans="1:6" ht="15" customHeight="1">
      <c r="A120" s="32"/>
      <c r="B120" s="191"/>
      <c r="C120" s="95"/>
      <c r="D120" s="192"/>
      <c r="E120" s="41"/>
      <c r="F120" s="83"/>
    </row>
    <row r="121" spans="1:6" ht="15" customHeight="1">
      <c r="A121" s="32" t="s">
        <v>1097</v>
      </c>
      <c r="B121" s="191" t="s">
        <v>1098</v>
      </c>
      <c r="C121" s="95">
        <v>2</v>
      </c>
      <c r="D121" s="192" t="s">
        <v>1021</v>
      </c>
      <c r="E121" s="41"/>
      <c r="F121" s="83"/>
    </row>
    <row r="122" spans="1:6" ht="15" customHeight="1">
      <c r="A122" s="32"/>
      <c r="B122" s="191"/>
      <c r="C122" s="95"/>
      <c r="D122" s="192"/>
      <c r="E122" s="41"/>
      <c r="F122" s="83"/>
    </row>
    <row r="123" spans="1:6" ht="15" customHeight="1">
      <c r="A123" s="335" t="s">
        <v>1319</v>
      </c>
      <c r="B123" s="336" t="s">
        <v>1320</v>
      </c>
      <c r="C123" s="337"/>
      <c r="D123" s="338"/>
      <c r="E123" s="41"/>
      <c r="F123" s="83"/>
    </row>
    <row r="124" spans="1:6" ht="15" customHeight="1">
      <c r="A124" s="339" t="s">
        <v>1321</v>
      </c>
      <c r="B124" s="340" t="s">
        <v>1069</v>
      </c>
      <c r="C124" s="337">
        <v>2</v>
      </c>
      <c r="D124" s="338" t="s">
        <v>1322</v>
      </c>
      <c r="E124" s="41"/>
      <c r="F124" s="83"/>
    </row>
    <row r="125" spans="1:6" ht="15" customHeight="1">
      <c r="A125" s="339"/>
      <c r="B125" s="340"/>
      <c r="C125" s="337"/>
      <c r="D125" s="338"/>
      <c r="E125" s="41"/>
      <c r="F125" s="83"/>
    </row>
    <row r="126" spans="1:6" ht="15" customHeight="1">
      <c r="A126" s="341" t="s">
        <v>1323</v>
      </c>
      <c r="B126" s="340" t="s">
        <v>1070</v>
      </c>
      <c r="C126" s="337"/>
      <c r="D126" s="338"/>
      <c r="E126" s="41"/>
      <c r="F126" s="83"/>
    </row>
    <row r="127" spans="1:6" ht="15" customHeight="1">
      <c r="A127" s="341" t="s">
        <v>1324</v>
      </c>
      <c r="B127" s="340" t="s">
        <v>1072</v>
      </c>
      <c r="C127" s="337">
        <v>13</v>
      </c>
      <c r="D127" s="338" t="s">
        <v>1322</v>
      </c>
      <c r="E127" s="41"/>
      <c r="F127" s="83"/>
    </row>
    <row r="128" spans="1:6" ht="15" customHeight="1">
      <c r="A128" s="341" t="s">
        <v>1325</v>
      </c>
      <c r="B128" s="340" t="s">
        <v>1074</v>
      </c>
      <c r="C128" s="337">
        <v>4</v>
      </c>
      <c r="D128" s="338" t="s">
        <v>1322</v>
      </c>
      <c r="E128" s="41"/>
      <c r="F128" s="83"/>
    </row>
    <row r="129" spans="1:6" ht="15" customHeight="1">
      <c r="A129" s="341" t="s">
        <v>1326</v>
      </c>
      <c r="B129" s="340" t="s">
        <v>1076</v>
      </c>
      <c r="C129" s="337">
        <v>6</v>
      </c>
      <c r="D129" s="338" t="s">
        <v>1322</v>
      </c>
      <c r="E129" s="41"/>
      <c r="F129" s="83"/>
    </row>
    <row r="130" spans="1:6" ht="15" customHeight="1">
      <c r="A130" s="341" t="s">
        <v>1327</v>
      </c>
      <c r="B130" s="340" t="s">
        <v>1078</v>
      </c>
      <c r="C130" s="337">
        <v>1</v>
      </c>
      <c r="D130" s="338" t="s">
        <v>1322</v>
      </c>
      <c r="E130" s="41"/>
      <c r="F130" s="83"/>
    </row>
    <row r="131" spans="1:6" ht="15" customHeight="1">
      <c r="A131" s="339"/>
      <c r="B131" s="340"/>
      <c r="C131" s="337"/>
      <c r="D131" s="338"/>
      <c r="E131" s="41"/>
      <c r="F131" s="83"/>
    </row>
    <row r="132" spans="1:6" ht="15" customHeight="1">
      <c r="A132" s="341" t="s">
        <v>1328</v>
      </c>
      <c r="B132" s="340" t="s">
        <v>1080</v>
      </c>
      <c r="C132" s="337">
        <v>24</v>
      </c>
      <c r="D132" s="338" t="s">
        <v>628</v>
      </c>
      <c r="E132" s="41"/>
      <c r="F132" s="83"/>
    </row>
    <row r="133" spans="1:6" ht="15" customHeight="1">
      <c r="A133" s="339"/>
      <c r="B133" s="340"/>
      <c r="C133" s="337"/>
      <c r="D133" s="338"/>
      <c r="E133" s="41"/>
      <c r="F133" s="83"/>
    </row>
    <row r="134" spans="1:6" ht="15" customHeight="1">
      <c r="A134" s="341" t="s">
        <v>1329</v>
      </c>
      <c r="B134" s="340" t="s">
        <v>1082</v>
      </c>
      <c r="C134" s="337">
        <v>2</v>
      </c>
      <c r="D134" s="338" t="s">
        <v>1330</v>
      </c>
      <c r="E134" s="41"/>
      <c r="F134" s="83"/>
    </row>
    <row r="135" spans="1:6" ht="15" customHeight="1">
      <c r="A135" s="339"/>
      <c r="B135" s="340"/>
      <c r="C135" s="337"/>
      <c r="D135" s="338"/>
      <c r="E135" s="41"/>
      <c r="F135" s="83"/>
    </row>
    <row r="136" spans="1:6" ht="15" customHeight="1">
      <c r="A136" s="341" t="s">
        <v>1331</v>
      </c>
      <c r="B136" s="340" t="s">
        <v>1084</v>
      </c>
      <c r="C136" s="337"/>
      <c r="D136" s="338"/>
      <c r="E136" s="41"/>
      <c r="F136" s="83"/>
    </row>
    <row r="137" spans="1:6" ht="15" customHeight="1">
      <c r="A137" s="339"/>
      <c r="B137" s="340"/>
      <c r="C137" s="337"/>
      <c r="D137" s="338"/>
      <c r="E137" s="41"/>
      <c r="F137" s="83"/>
    </row>
    <row r="138" spans="1:6" ht="15" customHeight="1">
      <c r="A138" s="341" t="s">
        <v>1332</v>
      </c>
      <c r="B138" s="340" t="s">
        <v>1086</v>
      </c>
      <c r="C138" s="337">
        <v>2</v>
      </c>
      <c r="D138" s="338" t="s">
        <v>1021</v>
      </c>
      <c r="E138" s="41"/>
      <c r="F138" s="83"/>
    </row>
    <row r="139" spans="1:6" ht="15" customHeight="1">
      <c r="A139" s="339"/>
      <c r="B139" s="340"/>
      <c r="C139" s="337"/>
      <c r="D139" s="338"/>
      <c r="E139" s="41"/>
      <c r="F139" s="83"/>
    </row>
    <row r="140" spans="1:6" ht="15" customHeight="1">
      <c r="A140" s="341" t="s">
        <v>1333</v>
      </c>
      <c r="B140" s="340" t="s">
        <v>1088</v>
      </c>
      <c r="C140" s="337">
        <v>2</v>
      </c>
      <c r="D140" s="338" t="s">
        <v>1021</v>
      </c>
      <c r="E140" s="41"/>
      <c r="F140" s="83"/>
    </row>
    <row r="141" spans="1:6" ht="15" customHeight="1">
      <c r="A141" s="339"/>
      <c r="B141" s="340"/>
      <c r="C141" s="337"/>
      <c r="D141" s="338"/>
      <c r="E141" s="41"/>
      <c r="F141" s="83"/>
    </row>
    <row r="142" spans="1:6" ht="15" customHeight="1">
      <c r="A142" s="341" t="s">
        <v>1334</v>
      </c>
      <c r="B142" s="340" t="s">
        <v>1090</v>
      </c>
      <c r="C142" s="337">
        <v>2</v>
      </c>
      <c r="D142" s="338" t="s">
        <v>1021</v>
      </c>
      <c r="E142" s="41"/>
      <c r="F142" s="83"/>
    </row>
    <row r="143" spans="1:6" ht="15" customHeight="1">
      <c r="A143" s="339"/>
      <c r="B143" s="340"/>
      <c r="C143" s="337"/>
      <c r="D143" s="338"/>
      <c r="E143" s="41"/>
      <c r="F143" s="83"/>
    </row>
    <row r="144" spans="1:6" ht="15" customHeight="1">
      <c r="A144" s="341" t="s">
        <v>1335</v>
      </c>
      <c r="B144" s="340" t="s">
        <v>1336</v>
      </c>
      <c r="C144" s="337">
        <v>24</v>
      </c>
      <c r="D144" s="338" t="s">
        <v>1025</v>
      </c>
      <c r="E144" s="41"/>
      <c r="F144" s="83"/>
    </row>
    <row r="145" spans="1:6" ht="15" customHeight="1">
      <c r="A145" s="339"/>
      <c r="B145" s="340"/>
      <c r="C145" s="337"/>
      <c r="D145" s="338"/>
      <c r="E145" s="41"/>
      <c r="F145" s="83"/>
    </row>
    <row r="146" spans="1:6" ht="15" customHeight="1">
      <c r="A146" s="341" t="s">
        <v>1337</v>
      </c>
      <c r="B146" s="340" t="s">
        <v>1094</v>
      </c>
      <c r="C146" s="337">
        <v>2</v>
      </c>
      <c r="D146" s="338" t="s">
        <v>1021</v>
      </c>
      <c r="E146" s="41"/>
      <c r="F146" s="83"/>
    </row>
    <row r="147" spans="1:6" ht="15" customHeight="1">
      <c r="A147" s="339"/>
      <c r="B147" s="340"/>
      <c r="C147" s="337"/>
      <c r="D147" s="338"/>
      <c r="E147" s="41"/>
      <c r="F147" s="83"/>
    </row>
    <row r="148" spans="1:6" ht="15" customHeight="1">
      <c r="A148" s="341" t="s">
        <v>1338</v>
      </c>
      <c r="B148" s="340" t="s">
        <v>1096</v>
      </c>
      <c r="C148" s="337">
        <v>2</v>
      </c>
      <c r="D148" s="338" t="s">
        <v>1021</v>
      </c>
      <c r="E148" s="41"/>
      <c r="F148" s="83"/>
    </row>
    <row r="149" spans="1:6" ht="15" customHeight="1">
      <c r="A149" s="339"/>
      <c r="B149" s="340"/>
      <c r="C149" s="337"/>
      <c r="D149" s="338"/>
      <c r="E149" s="41"/>
      <c r="F149" s="83"/>
    </row>
    <row r="150" spans="1:6" ht="15" customHeight="1">
      <c r="A150" s="341" t="s">
        <v>1339</v>
      </c>
      <c r="B150" s="340" t="s">
        <v>1098</v>
      </c>
      <c r="C150" s="337">
        <v>2</v>
      </c>
      <c r="D150" s="338" t="s">
        <v>1021</v>
      </c>
      <c r="E150" s="41"/>
      <c r="F150" s="83"/>
    </row>
    <row r="151" spans="1:6" ht="15" customHeight="1">
      <c r="A151" s="32"/>
      <c r="B151" s="191"/>
      <c r="C151" s="95"/>
      <c r="D151" s="192"/>
      <c r="E151" s="41"/>
      <c r="F151" s="83"/>
    </row>
    <row r="152" spans="1:6" ht="15" customHeight="1">
      <c r="A152" s="32"/>
      <c r="B152" s="191"/>
      <c r="C152" s="95"/>
      <c r="D152" s="192"/>
      <c r="E152" s="41"/>
      <c r="F152" s="83"/>
    </row>
    <row r="153" spans="1:6" ht="15" customHeight="1">
      <c r="A153" s="32"/>
      <c r="B153" s="191"/>
      <c r="C153" s="95"/>
      <c r="D153" s="192"/>
      <c r="E153" s="41"/>
      <c r="F153" s="83"/>
    </row>
    <row r="154" spans="1:6" ht="15" customHeight="1">
      <c r="A154" s="32"/>
      <c r="B154" s="191"/>
      <c r="C154" s="95"/>
      <c r="D154" s="192"/>
      <c r="E154" s="41"/>
      <c r="F154" s="83"/>
    </row>
    <row r="155" spans="1:6" ht="15" customHeight="1">
      <c r="A155" s="32"/>
      <c r="B155" s="191"/>
      <c r="C155" s="95"/>
      <c r="D155" s="192"/>
      <c r="E155" s="41"/>
      <c r="F155" s="83"/>
    </row>
    <row r="156" spans="1:6" ht="15" customHeight="1">
      <c r="A156" s="32"/>
      <c r="B156" s="191"/>
      <c r="C156" s="95"/>
      <c r="D156" s="192"/>
      <c r="E156" s="41"/>
      <c r="F156" s="83"/>
    </row>
    <row r="157" spans="1:6" ht="15" customHeight="1">
      <c r="A157" s="32"/>
      <c r="B157" s="191"/>
      <c r="C157" s="95"/>
      <c r="D157" s="192"/>
      <c r="E157" s="41"/>
      <c r="F157" s="83"/>
    </row>
    <row r="158" spans="1:6" ht="15" customHeight="1">
      <c r="A158" s="54"/>
      <c r="B158" s="194"/>
      <c r="C158" s="57"/>
      <c r="D158" s="195"/>
      <c r="E158" s="58"/>
      <c r="F158" s="110"/>
    </row>
    <row r="159" spans="1:6" ht="22.7" customHeight="1">
      <c r="A159" s="470" t="s">
        <v>1099</v>
      </c>
      <c r="B159" s="467"/>
      <c r="C159" s="467"/>
      <c r="D159" s="467"/>
      <c r="E159" s="468"/>
      <c r="F159" s="111">
        <f>SUM(F52:F157)</f>
        <v>0</v>
      </c>
    </row>
  </sheetData>
  <mergeCells count="1">
    <mergeCell ref="A159:E159"/>
  </mergeCells>
  <phoneticPr fontId="34" type="noConversion"/>
  <printOptions horizontalCentered="1"/>
  <pageMargins left="0.55118110236220497" right="0.35433070866141703" top="0.98425196850393704" bottom="0.98425196850393704" header="0.511811023622047" footer="0.511811023622047"/>
  <pageSetup paperSize="9" scale="81" orientation="portrait" r:id="rId1"/>
  <headerFooter>
    <oddFooter>&amp;R&amp;"宋体,常规"BQ-K-P.&amp;P/&amp;N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已命名的範圍</vt:lpstr>
      </vt:variant>
      <vt:variant>
        <vt:i4>15</vt:i4>
      </vt:variant>
    </vt:vector>
  </HeadingPairs>
  <TitlesOfParts>
    <vt:vector size="28" baseType="lpstr">
      <vt:lpstr>匯總</vt:lpstr>
      <vt:lpstr>A-開辦項目</vt:lpstr>
      <vt:lpstr>B-拆卸工程</vt:lpstr>
      <vt:lpstr>C-結構項目</vt:lpstr>
      <vt:lpstr>D-天花項目</vt:lpstr>
      <vt:lpstr>E-牆身及地面部分</vt:lpstr>
      <vt:lpstr>F-門及間斷部份</vt:lpstr>
      <vt:lpstr>G-傢具部份</vt:lpstr>
      <vt:lpstr>H-空調通風系統項目</vt:lpstr>
      <vt:lpstr>I-弱電系統項目</vt:lpstr>
      <vt:lpstr>J-強電系統項目</vt:lpstr>
      <vt:lpstr>K-供排水系統項目</vt:lpstr>
      <vt:lpstr>L-消防系統項目</vt:lpstr>
      <vt:lpstr>'A-開辦項目'!Print_Area</vt:lpstr>
      <vt:lpstr>'B-拆卸工程'!Print_Area</vt:lpstr>
      <vt:lpstr>'E-牆身及地面部分'!Print_Area</vt:lpstr>
      <vt:lpstr>匯總!Print_Area</vt:lpstr>
      <vt:lpstr>'A-開辦項目'!Print_Titles</vt:lpstr>
      <vt:lpstr>'B-拆卸工程'!Print_Titles</vt:lpstr>
      <vt:lpstr>'D-天花項目'!Print_Titles</vt:lpstr>
      <vt:lpstr>'E-牆身及地面部分'!Print_Titles</vt:lpstr>
      <vt:lpstr>'F-門及間斷部份'!Print_Titles</vt:lpstr>
      <vt:lpstr>'G-傢具部份'!Print_Titles</vt:lpstr>
      <vt:lpstr>'H-空調通風系統項目'!Print_Titles</vt:lpstr>
      <vt:lpstr>'I-弱電系統項目'!Print_Titles</vt:lpstr>
      <vt:lpstr>'J-強電系統項目'!Print_Titles</vt:lpstr>
      <vt:lpstr>'K-供排水系統項目'!Print_Titles</vt:lpstr>
      <vt:lpstr>'L-消防系統項目'!Print_Titles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李立峰</cp:lastModifiedBy>
  <cp:lastPrinted>2025-08-23T08:46:00Z</cp:lastPrinted>
  <dcterms:created xsi:type="dcterms:W3CDTF">2024-09-11T07:34:00Z</dcterms:created>
  <dcterms:modified xsi:type="dcterms:W3CDTF">2025-08-28T04:04:20Z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46DAF63D13214DF592757E1D96D11CBA_12</vt:lpwstr>
  </property>
  <property fmtid="{D5CDD505-2E9C-101B-9397-08002B2CF9AE}" pid="3" name="KSOProductBuildVer">
    <vt:lpwstr>2052-12.1.0.22529</vt:lpwstr>
  </property>
</Properties>
</file>